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2" yWindow="65524" windowWidth="6000" windowHeight="6600" activeTab="0"/>
  </bookViews>
  <sheets>
    <sheet name="Income Stmt" sheetId="1" r:id="rId1"/>
    <sheet name="Conso BS" sheetId="2" r:id="rId2"/>
    <sheet name="Notes" sheetId="3" r:id="rId3"/>
  </sheets>
  <definedNames>
    <definedName name="_xlnm.Print_Area" localSheetId="1">'Conso BS'!$B$10:$E$65</definedName>
    <definedName name="_xlnm.Print_Area" localSheetId="0">'Income Stmt'!$B$2:$H$54</definedName>
    <definedName name="_xlnm.Print_Area" localSheetId="2">'Notes'!$B$10:$L$172</definedName>
    <definedName name="_xlnm.Print_Titles" localSheetId="1">'Conso BS'!$2:$16</definedName>
    <definedName name="_xlnm.Print_Titles" localSheetId="2">'Notes'!$2:$9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<sst xmlns="http://schemas.openxmlformats.org/spreadsheetml/2006/main" count="290" uniqueCount="231">
  <si>
    <t>The figures have not been audited</t>
  </si>
  <si>
    <t>CONSOLIDATED INCOME STATEMENT</t>
  </si>
  <si>
    <t>Current Year</t>
  </si>
  <si>
    <t>Quarter</t>
  </si>
  <si>
    <t>RM'000</t>
  </si>
  <si>
    <t>1.</t>
  </si>
  <si>
    <t>(a)</t>
  </si>
  <si>
    <t>Turnover</t>
  </si>
  <si>
    <t>(b)</t>
  </si>
  <si>
    <t>Investment income</t>
  </si>
  <si>
    <t>(c)</t>
  </si>
  <si>
    <t>2.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</si>
  <si>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</si>
  <si>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</si>
  <si>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</si>
  <si>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</si>
  <si>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</si>
  <si>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</si>
  <si>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</si>
  <si>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</si>
  <si>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</si>
  <si>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(j)</t>
  </si>
  <si>
    <t>(k)</t>
  </si>
  <si>
    <t>Extraordinary items</t>
  </si>
  <si>
    <t>(l)</t>
  </si>
  <si>
    <t>3.</t>
  </si>
  <si>
    <t>As at</t>
  </si>
  <si>
    <t>preceding</t>
  </si>
  <si>
    <t>financial</t>
  </si>
  <si>
    <t>INVESTMENT IN ASSOCIATED COMPANIES</t>
  </si>
  <si>
    <t>LAND AND DEVELOPMENT EXPENDITURE</t>
  </si>
  <si>
    <t>SECURITY RETAINERS' ACCUMULATION FUND</t>
  </si>
  <si>
    <t>GOODWILL ON CONSOLIDATION</t>
  </si>
  <si>
    <t>Current Assets</t>
  </si>
  <si>
    <t>Cash and bank balances</t>
  </si>
  <si>
    <t>Current Liabilities</t>
  </si>
  <si>
    <t>Short term bank borrowings</t>
  </si>
  <si>
    <t>Provision for taxation</t>
  </si>
  <si>
    <t>Bank overdrafts</t>
  </si>
  <si>
    <t>Net Current Assets/ (Liabilities)</t>
  </si>
  <si>
    <t>Shareholders' Funds</t>
  </si>
  <si>
    <t>Share capital</t>
  </si>
  <si>
    <t>Reserves</t>
  </si>
  <si>
    <t>Share premium</t>
  </si>
  <si>
    <t>Revaluation surplus</t>
  </si>
  <si>
    <t>Reserve on consolidation</t>
  </si>
  <si>
    <t>Minority Interests</t>
  </si>
  <si>
    <t>Security retainers</t>
  </si>
  <si>
    <t>Deferred licence fees</t>
  </si>
  <si>
    <t>Deferred taxation</t>
  </si>
  <si>
    <t>CONSOLIDATED BALANCE SHEET</t>
  </si>
  <si>
    <t>NOTES TO THE ACCOUNTS</t>
  </si>
  <si>
    <t>Accounting policies</t>
  </si>
  <si>
    <t>4.</t>
  </si>
  <si>
    <t>5.</t>
  </si>
  <si>
    <t>6.</t>
  </si>
  <si>
    <t>7.</t>
  </si>
  <si>
    <t>Quoted securities</t>
  </si>
  <si>
    <t>8.</t>
  </si>
  <si>
    <t>9.</t>
  </si>
  <si>
    <t>10.</t>
  </si>
  <si>
    <t>11.</t>
  </si>
  <si>
    <t>12.</t>
  </si>
  <si>
    <t>Group borrowings</t>
  </si>
  <si>
    <t>Secured short-term borrowings</t>
  </si>
  <si>
    <t>Secured long-term borrowings</t>
  </si>
  <si>
    <t>13.</t>
  </si>
  <si>
    <t>Contingent liabilities</t>
  </si>
  <si>
    <t>14.</t>
  </si>
  <si>
    <t>Off balance sheet risks</t>
  </si>
  <si>
    <t>15.</t>
  </si>
  <si>
    <t>16.</t>
  </si>
  <si>
    <t>Segmental results</t>
  </si>
  <si>
    <t>Real property and resort development</t>
  </si>
  <si>
    <t>Manufacturing</t>
  </si>
  <si>
    <t>Engineering and trading</t>
  </si>
  <si>
    <t>Investment</t>
  </si>
  <si>
    <t>Credit and leasing</t>
  </si>
  <si>
    <t>Profit/(loss)</t>
  </si>
  <si>
    <t>before tax</t>
  </si>
  <si>
    <t>employed</t>
  </si>
  <si>
    <t>17.</t>
  </si>
  <si>
    <t>18.</t>
  </si>
  <si>
    <t>Prospects</t>
  </si>
  <si>
    <t>20.</t>
  </si>
  <si>
    <t>Profit forecast/ profit guarantee</t>
  </si>
  <si>
    <t>Dividend</t>
  </si>
  <si>
    <t>(Company No. 47908-K)</t>
  </si>
  <si>
    <t>Stockbroking</t>
  </si>
  <si>
    <t>Share of taxation of associated company</t>
  </si>
  <si>
    <t>At cost</t>
  </si>
  <si>
    <t>At market value at end of reporting period</t>
  </si>
  <si>
    <t>Current</t>
  </si>
  <si>
    <t>Assets</t>
  </si>
  <si>
    <t>The Board does not recommend any interim dividend for the current financial year.</t>
  </si>
  <si>
    <t>By Order of the Board</t>
  </si>
  <si>
    <t>Secretaries</t>
  </si>
  <si>
    <t>Petaling Jaya</t>
  </si>
  <si>
    <t>Selangor Darul Ehsan</t>
  </si>
  <si>
    <t>Internet-related ventures</t>
  </si>
  <si>
    <t xml:space="preserve">  </t>
  </si>
  <si>
    <t>31/12/2000</t>
  </si>
  <si>
    <t>Underprovision of tax in previous years</t>
  </si>
  <si>
    <t>Current year income tax charge/ (credit)</t>
  </si>
  <si>
    <t>At carrying value (after provision for diminution in value)</t>
  </si>
  <si>
    <t>Investments in quoted securities are as follows:</t>
  </si>
  <si>
    <t>Changes in composition of the group</t>
  </si>
  <si>
    <t>(ii)</t>
  </si>
  <si>
    <t>Status of corporate proposals</t>
  </si>
  <si>
    <t>Seasonality or cyclicality of operations</t>
  </si>
  <si>
    <t>The business operations of the Group are not significantly affected by any seasonal or cyclical factors.</t>
  </si>
  <si>
    <t>Changes in debt and equity securities</t>
  </si>
  <si>
    <t>Particulars of the Group's borrowings are as follows:</t>
  </si>
  <si>
    <t>The information on each of the Group's industry segments is as follows:</t>
  </si>
  <si>
    <t>Review of performance</t>
  </si>
  <si>
    <t>Individual Quarter</t>
  </si>
  <si>
    <t>Cumulative Quarter</t>
  </si>
  <si>
    <t>Year</t>
  </si>
  <si>
    <t>Corresponding</t>
  </si>
  <si>
    <t>To Date</t>
  </si>
  <si>
    <t>Period</t>
  </si>
  <si>
    <t>Preceding</t>
  </si>
  <si>
    <t xml:space="preserve"> Year</t>
  </si>
  <si>
    <t>DIJAYA CORPORATION BERHAD</t>
  </si>
  <si>
    <t>The Group does not have any financial instrument with off-balance sheet risk as at the end of the financial</t>
  </si>
  <si>
    <t>period under review and to the date of this announcement.</t>
  </si>
  <si>
    <t>Other income</t>
  </si>
  <si>
    <t>Profit/ (loss) before finance cost, depreciation</t>
  </si>
  <si>
    <t>Finance cost</t>
  </si>
  <si>
    <t>Share of profits and losses of associated</t>
  </si>
  <si>
    <t>companies</t>
  </si>
  <si>
    <t>interests and extraordinary items</t>
  </si>
  <si>
    <t>Profit/ (loss) before income tax, minority</t>
  </si>
  <si>
    <t>tax, minority interest and extraordinary items</t>
  </si>
  <si>
    <t>and amortisation, exceptional items, income</t>
  </si>
  <si>
    <t>Income tax</t>
  </si>
  <si>
    <t>deducting minority interests</t>
  </si>
  <si>
    <t>(i)  Profit/ (loss) after income tax before</t>
  </si>
  <si>
    <t>(ii) Less minority interests</t>
  </si>
  <si>
    <t>Net profit/ (loss) from ordinary activities</t>
  </si>
  <si>
    <t>attributable to members of the Company</t>
  </si>
  <si>
    <t>(i)  Extraordinary items</t>
  </si>
  <si>
    <t>(ii) Extraordinary items attributable to members</t>
  </si>
  <si>
    <t>of the Company</t>
  </si>
  <si>
    <t>Net profit/ (loss) attributable to members of the Company</t>
  </si>
  <si>
    <t>Earnings per share based on 2(l) above:-</t>
  </si>
  <si>
    <t>shares) (sen)</t>
  </si>
  <si>
    <t>Basic (based on 259,502,583 ordinary</t>
  </si>
  <si>
    <t>Note:</t>
  </si>
  <si>
    <t>For the diluted earnings per share, the weighted average number of ordinary shares in issue is adjusted to</t>
  </si>
  <si>
    <t>quarter</t>
  </si>
  <si>
    <t>end of</t>
  </si>
  <si>
    <t>current</t>
  </si>
  <si>
    <t>year end</t>
  </si>
  <si>
    <t>PROPERTY, PLANT AND EQUIPMENT</t>
  </si>
  <si>
    <t>LONG TERM INVESTMENTS</t>
  </si>
  <si>
    <t>Inventories</t>
  </si>
  <si>
    <t>Land and development expenditure</t>
  </si>
  <si>
    <t>Trade and other receivables</t>
  </si>
  <si>
    <t>Marketable securities</t>
  </si>
  <si>
    <t xml:space="preserve">Deposits with licensed banks </t>
  </si>
  <si>
    <t>Current portion of term loans</t>
  </si>
  <si>
    <t>Hire purchase creditors</t>
  </si>
  <si>
    <t>Accumulated losses</t>
  </si>
  <si>
    <t>Non Current Liabilities</t>
  </si>
  <si>
    <t>Term loans</t>
  </si>
  <si>
    <t>Net tangible assets per share (RM)</t>
  </si>
  <si>
    <t>Sinking fund reserve</t>
  </si>
  <si>
    <t>Currency translation diferrences</t>
  </si>
  <si>
    <t>Fully diluted (based on 262,104,583 ordinary</t>
  </si>
  <si>
    <t>The quarterly financial statements were prepared in accordance with the same accounting policies, method</t>
  </si>
  <si>
    <t>of computation and basis of consolidation consistent with those applied in the most recent annual</t>
  </si>
  <si>
    <t>financial statements.</t>
  </si>
  <si>
    <t>There has been no issuance or repayment of debt and equity securities, share buy back, share cancellation,</t>
  </si>
  <si>
    <t>Associated companies</t>
  </si>
  <si>
    <t>Material changes in the quarterly results compared to the the preceding quarter</t>
  </si>
  <si>
    <t>Subsequent material events</t>
  </si>
  <si>
    <t>There were no material event subsequent to the end of the reporting and to the date of this announcement.</t>
  </si>
  <si>
    <t>Not applicable.</t>
  </si>
  <si>
    <t>Year Todate</t>
  </si>
  <si>
    <t>Trade and other payables</t>
  </si>
  <si>
    <t>assume conversion of all dilutive potential ordinary shares. The Company has one category of dilutive potential</t>
  </si>
  <si>
    <t xml:space="preserve">ordinary shares - 2,602,000 outstanding shares options granted to directors and employees. </t>
  </si>
  <si>
    <t>ENDED 30 JUNE 2001</t>
  </si>
  <si>
    <t>30/6/2000</t>
  </si>
  <si>
    <t>30/6/2001</t>
  </si>
  <si>
    <t>The Proposed Special Bumiputra Issue ("SBI") of 31,000,000 new Dijaya shares to Bumiputra investors</t>
  </si>
  <si>
    <t>approved by the Ministry of International Trade and Industry is still pending implementation. The Securities</t>
  </si>
  <si>
    <t>Commission ('SC') had approved the extension of time for the implementation of the SBI to 31 December</t>
  </si>
  <si>
    <t>Jessica Low Nyoke Fun</t>
  </si>
  <si>
    <t>shares held as treasury shares and resale of treasury shares during the current financial year to date.</t>
  </si>
  <si>
    <t>The Group registered a profit before tax and minority interests of RM1.6 million for the current quarter, a</t>
  </si>
  <si>
    <t>The Group achieved a profit before tax of RM32.8 million based on a consolidated turnover of RM88.5</t>
  </si>
  <si>
    <t>decrease of RM29.6 million or 95% from the preceding quarter. The substantially higher profit for the</t>
  </si>
  <si>
    <t>The Group expects to improve on its profitability during the second half of the year with the recognition of</t>
  </si>
  <si>
    <t>QUARTERLY REPORT ON CONSOLIDATED RESULTS FOR THE SECOND QUARTER</t>
  </si>
  <si>
    <t>Deferred taxation transfers</t>
  </si>
  <si>
    <t>The effective rate of tax charge for the current quarter is higher than the statutory rate of taxation due to</t>
  </si>
  <si>
    <t>certain expenses being disallowed for taxation purposes. The effective tax rate for current year to date is</t>
  </si>
  <si>
    <t>There is no exceptional item in the current quarter and financial year to date.</t>
  </si>
  <si>
    <t>There is no extraordinary item in the current quarter and financial year to date.</t>
  </si>
  <si>
    <t>Sale of unquoted securities and/ or properties</t>
  </si>
  <si>
    <t>There has been no purchase or disposal of quoted securities for the current financial period.</t>
  </si>
  <si>
    <t>subsidiaries.</t>
  </si>
  <si>
    <t>million for the first half year to 30 June 2001, an increase of 421.8% over the corresponding period ended</t>
  </si>
  <si>
    <t>lower as no provision was made in respect of certain tax-exempt gain included in the profits before tax.</t>
  </si>
  <si>
    <t>There has not been any sale or acquisition of unquoted securities or property since the last quarterly report.</t>
  </si>
  <si>
    <t>2001 as announced on 9 January 2001. As announced on 30 May 2001, the SC had approved the revision in</t>
  </si>
  <si>
    <t>the issue price of the SBI from RM1.90 per share to RM1.00 per share and the revised utilisation of</t>
  </si>
  <si>
    <t>proceeds arising from the SBI.</t>
  </si>
  <si>
    <t>There has been no change in the contingent liabilities since the last annual balance sheet date.</t>
  </si>
  <si>
    <t>preceding quarter was due to the inclusion of the exceptional gain arising on disposal of South</t>
  </si>
  <si>
    <t>Johor Securities Sdn Bhd.</t>
  </si>
  <si>
    <t xml:space="preserve">30 June 2000. The substantial increase in pre-tax profit was mainly due to the inclusion of the exceptional </t>
  </si>
  <si>
    <t>gains on the disposal of its stock broking business and higher profit contributions from its operating</t>
  </si>
  <si>
    <t>19.</t>
  </si>
  <si>
    <t>On 23 August 2001, the Company subscribe, at par, an additional 49,998 new ordinary shares of RM1.00</t>
  </si>
  <si>
    <t>each in Accroway Sdn Bhd, thereby increasing its shareholding in Accroway from 2 ordinary shares to</t>
  </si>
  <si>
    <t>50,000 ordinary shares representing 100% of its enlarged issued and paid up share capital.</t>
  </si>
  <si>
    <t>billings from the properties sold during the first half year. Nevertheless, the Group remains cautious of its</t>
  </si>
  <si>
    <t>prospect in view of the expected slower domestic economic growth due to the weakening global economy.</t>
  </si>
  <si>
    <t>On 21 August 2001, Ikatan Engineering Sdn Bhd, a subsidiary of Dijaya Corporation Bhd, disposed of its</t>
  </si>
  <si>
    <t>entire equity interest in its wholly-owned dormat subsidiary company, Ikatan Oilfield Services Sdn Bhd,</t>
  </si>
  <si>
    <t>comprising 4 ordinary shares of RM1.00 each for a total cash consideration of RM4.00 only.</t>
  </si>
  <si>
    <t>21.</t>
  </si>
  <si>
    <t>Overseas business venture</t>
  </si>
  <si>
    <t>On 18 August 2001, the Company entered into a Memorandum of Understanding with the People's</t>
  </si>
  <si>
    <t>Government on Songming District, Kunming City in the People's Republic of China for the proposed</t>
  </si>
  <si>
    <t>investment in the development of of a golf and country resort.</t>
  </si>
  <si>
    <t>27 August 2001</t>
  </si>
  <si>
    <t>Leslie Lim Siak Kooi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</si>
</sst>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m/d/yyyy"/>
    <numFmt numFmtId="181" formatCode="_-* #,##0_-;\-* #,##0_-;_-* &quot;-&quot;_-;_-@_-"/>
    <numFmt numFmtId="182" formatCode="_-* #,##0\ _F_-;\-* #,##0\ _F_-;_-* &quot;-&quot;\ _F_-;_-@_-"/>
    <numFmt numFmtId="183" formatCode="_-* #,##0.00_-;\-* #,##0.00_-;_-* &quot;-&quot;??_-;_-@_-"/>
    <numFmt numFmtId="184" formatCode="_-* #,##0.00\ _F_-;\-* #,##0.00\ _F_-;_-* &quot;-&quot;??\ _F_-;_-@_-"/>
    <numFmt numFmtId="185" formatCode="_-&quot;£&quot;* #,##0_-;\-&quot;£&quot;* #,##0_-;_-&quot;£&quot;* &quot;-&quot;_-;_-@_-"/>
    <numFmt numFmtId="186" formatCode="&quot;ß&quot;#,##0;[Red]\-&quot;ß&quot;#,##0"/>
    <numFmt numFmtId="187" formatCode="_-&quot;ß&quot;* #,##0_-;\-&quot;ß&quot;* #,##0_-;_-&quot;ß&quot;* &quot;-&quot;_-;_-@_-"/>
    <numFmt numFmtId="188" formatCode="_-* #,##0\ &quot;F&quot;_-;\-* #,##0\ &quot;F&quot;_-;_-* &quot;-&quot;\ &quot;F&quot;_-;_-@_-"/>
    <numFmt numFmtId="189" formatCode="_-&quot;£&quot;* #,##0.00_-;\-&quot;£&quot;* #,##0.00_-;_-&quot;£&quot;* &quot;-&quot;??_-;_-@_-"/>
    <numFmt numFmtId="190" formatCode="&quot;ß&quot;#,##0.00;[Red]\-&quot;ß&quot;#,##0.00"/>
    <numFmt numFmtId="191" formatCode="_-&quot;ß&quot;* #,##0.00_-;\-&quot;ß&quot;* #,##0.00_-;_-&quot;ß&quot;* &quot;-&quot;??_-;_-@_-"/>
    <numFmt numFmtId="192" formatCode="_-* #,##0.00\ &quot;F&quot;_-;\-* #,##0.00\ &quot;F&quot;_-;_-* &quot;-&quot;??\ &quot;F&quot;_-;_-@_-"/>
    <numFmt numFmtId="193" formatCode="#,##0.00&quot; $&quot;;[Red]\-#,##0.00&quot; $&quot;"/>
    <numFmt numFmtId="194" formatCode="0.00_)"/>
    <numFmt numFmtId="195" formatCode="General_)"/>
    <numFmt numFmtId="196" formatCode="dd/mm/yy"/>
    <numFmt numFmtId="197" formatCode="dd/mm/yyyy"/>
    <numFmt numFmtId="198" formatCode="_(* #,##0.000_);_(* \(#,##0.0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9"/>
      <name val="Garamond"/>
      <family val="1"/>
    </font>
    <font>
      <i/>
      <sz val="12"/>
      <name val="Garamond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179" fontId="7" fillId="0" borderId="0" xfId="15" applyNumberFormat="1" applyFont="1" applyAlignment="1">
      <alignment horizontal="center"/>
    </xf>
    <xf numFmtId="0" fontId="7" fillId="0" borderId="0" xfId="0" applyFont="1" applyAlignment="1" quotePrefix="1">
      <alignment/>
    </xf>
    <xf numFmtId="179" fontId="7" fillId="0" borderId="0" xfId="0" applyNumberFormat="1" applyFont="1" applyAlignment="1">
      <alignment/>
    </xf>
    <xf numFmtId="179" fontId="7" fillId="0" borderId="0" xfId="0" applyNumberFormat="1" applyFont="1" applyFill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179" fontId="7" fillId="0" borderId="0" xfId="15" applyNumberFormat="1" applyFont="1" applyFill="1" applyBorder="1" applyAlignment="1">
      <alignment/>
    </xf>
    <xf numFmtId="179" fontId="7" fillId="0" borderId="0" xfId="15" applyNumberFormat="1" applyFont="1" applyAlignment="1">
      <alignment/>
    </xf>
    <xf numFmtId="179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79" fontId="8" fillId="0" borderId="0" xfId="15" applyNumberFormat="1" applyFont="1" applyFill="1" applyBorder="1" applyAlignment="1">
      <alignment/>
    </xf>
    <xf numFmtId="179" fontId="8" fillId="0" borderId="0" xfId="15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9" fontId="8" fillId="0" borderId="2" xfId="15" applyNumberFormat="1" applyFont="1" applyFill="1" applyBorder="1" applyAlignment="1">
      <alignment/>
    </xf>
    <xf numFmtId="15" fontId="7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79" fontId="6" fillId="0" borderId="0" xfId="15" applyNumberFormat="1" applyFont="1" applyAlignment="1">
      <alignment/>
    </xf>
    <xf numFmtId="0" fontId="7" fillId="0" borderId="0" xfId="0" applyFont="1" applyAlignment="1">
      <alignment horizontal="left" indent="2"/>
    </xf>
    <xf numFmtId="179" fontId="7" fillId="0" borderId="3" xfId="15" applyNumberFormat="1" applyFont="1" applyBorder="1" applyAlignment="1">
      <alignment/>
    </xf>
    <xf numFmtId="179" fontId="7" fillId="0" borderId="3" xfId="15" applyNumberFormat="1" applyFont="1" applyBorder="1" applyAlignment="1">
      <alignment/>
    </xf>
    <xf numFmtId="179" fontId="7" fillId="0" borderId="4" xfId="15" applyNumberFormat="1" applyFont="1" applyBorder="1" applyAlignment="1">
      <alignment/>
    </xf>
    <xf numFmtId="179" fontId="7" fillId="0" borderId="5" xfId="15" applyNumberFormat="1" applyFont="1" applyBorder="1" applyAlignment="1">
      <alignment/>
    </xf>
    <xf numFmtId="0" fontId="7" fillId="0" borderId="0" xfId="0" applyFont="1" applyAlignment="1">
      <alignment/>
    </xf>
    <xf numFmtId="179" fontId="7" fillId="0" borderId="6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/>
    </xf>
    <xf numFmtId="179" fontId="7" fillId="0" borderId="0" xfId="15" applyNumberFormat="1" applyFont="1" applyBorder="1" applyAlignment="1">
      <alignment horizontal="center"/>
    </xf>
    <xf numFmtId="179" fontId="7" fillId="0" borderId="7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179" fontId="7" fillId="0" borderId="6" xfId="15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9" fontId="7" fillId="0" borderId="8" xfId="15" applyNumberFormat="1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4" fontId="4" fillId="0" borderId="0" xfId="0" applyNumberFormat="1" applyFont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Fill="1" applyBorder="1" applyAlignment="1" quotePrefix="1">
      <alignment horizontal="center"/>
    </xf>
    <xf numFmtId="14" fontId="11" fillId="0" borderId="0" xfId="0" applyNumberFormat="1" applyFont="1" applyBorder="1" applyAlignment="1" quotePrefix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 indent="3"/>
    </xf>
    <xf numFmtId="197" fontId="6" fillId="0" borderId="0" xfId="0" applyNumberFormat="1" applyFont="1" applyAlignment="1">
      <alignment horizontal="center"/>
    </xf>
    <xf numFmtId="179" fontId="6" fillId="0" borderId="9" xfId="15" applyNumberFormat="1" applyFont="1" applyBorder="1" applyAlignment="1">
      <alignment/>
    </xf>
    <xf numFmtId="43" fontId="6" fillId="0" borderId="1" xfId="15" applyNumberFormat="1" applyFont="1" applyBorder="1" applyAlignment="1">
      <alignment/>
    </xf>
    <xf numFmtId="179" fontId="7" fillId="0" borderId="0" xfId="15" applyNumberFormat="1" applyFont="1" applyBorder="1" applyAlignment="1">
      <alignment/>
    </xf>
    <xf numFmtId="179" fontId="7" fillId="0" borderId="7" xfId="15" applyNumberFormat="1" applyFont="1" applyBorder="1" applyAlignment="1">
      <alignment/>
    </xf>
    <xf numFmtId="179" fontId="7" fillId="0" borderId="0" xfId="15" applyNumberFormat="1" applyFont="1" applyFill="1" applyBorder="1" applyAlignment="1" quotePrefix="1">
      <alignment horizontal="right"/>
    </xf>
    <xf numFmtId="179" fontId="8" fillId="0" borderId="0" xfId="0" applyNumberFormat="1" applyFont="1" applyFill="1" applyBorder="1" applyAlignment="1">
      <alignment/>
    </xf>
    <xf numFmtId="198" fontId="7" fillId="0" borderId="0" xfId="15" applyNumberFormat="1" applyFont="1" applyAlignment="1">
      <alignment/>
    </xf>
    <xf numFmtId="179" fontId="6" fillId="0" borderId="0" xfId="15" applyNumberFormat="1" applyFont="1" applyFill="1" applyAlignment="1">
      <alignment/>
    </xf>
    <xf numFmtId="179" fontId="7" fillId="0" borderId="0" xfId="15" applyNumberFormat="1" applyFont="1" applyFill="1" applyAlignment="1" quotePrefix="1">
      <alignment horizontal="right"/>
    </xf>
    <xf numFmtId="179" fontId="7" fillId="0" borderId="6" xfId="0" applyNumberFormat="1" applyFont="1" applyFill="1" applyBorder="1" applyAlignment="1">
      <alignment/>
    </xf>
    <xf numFmtId="179" fontId="7" fillId="0" borderId="2" xfId="15" applyNumberFormat="1" applyFont="1" applyFill="1" applyBorder="1" applyAlignment="1" quotePrefix="1">
      <alignment horizontal="right"/>
    </xf>
    <xf numFmtId="179" fontId="7" fillId="0" borderId="0" xfId="15" applyNumberFormat="1" applyFont="1" applyFill="1" applyAlignment="1">
      <alignment/>
    </xf>
    <xf numFmtId="179" fontId="7" fillId="0" borderId="0" xfId="15" applyNumberFormat="1" applyFont="1" applyFill="1" applyAlignment="1">
      <alignment horizontal="center"/>
    </xf>
    <xf numFmtId="179" fontId="7" fillId="0" borderId="9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4"/>
  <sheetViews>
    <sheetView tabSelected="1" view="pageBreakPreview" zoomScaleSheetLayoutView="100" workbookViewId="0" topLeftCell="A112">
      <selection activeCell="B120" sqref="B120"/>
    </sheetView>
  </sheetViews>
  <sheetFormatPr defaultColWidth="9.140625" defaultRowHeight="12.75"/>
  <cols>
    <col min="1" max="1" width="9.140625" style="5" customWidth="1"/>
    <col min="2" max="2" width="2.7109375" style="5" customWidth="1"/>
    <col min="3" max="3" width="3.140625" style="5" customWidth="1"/>
    <col min="4" max="4" width="45.7109375" style="5" customWidth="1"/>
    <col min="5" max="5" width="13.28125" style="6" customWidth="1"/>
    <col min="6" max="6" width="13.00390625" style="6" bestFit="1" customWidth="1"/>
    <col min="7" max="7" width="13.28125" style="6" customWidth="1"/>
    <col min="8" max="8" width="13.00390625" style="3" bestFit="1" customWidth="1"/>
    <col min="9" max="16384" width="9.140625" style="3" customWidth="1"/>
  </cols>
  <sheetData>
    <row r="2" ht="15">
      <c r="B2" s="2" t="s">
        <v>123</v>
      </c>
    </row>
    <row r="3" ht="15">
      <c r="B3" s="31" t="s">
        <v>87</v>
      </c>
    </row>
    <row r="4" ht="15">
      <c r="B4" s="3"/>
    </row>
    <row r="5" ht="15">
      <c r="B5" s="4" t="s">
        <v>195</v>
      </c>
    </row>
    <row r="6" spans="2:8" ht="15">
      <c r="B6" s="7" t="s">
        <v>183</v>
      </c>
      <c r="C6" s="8"/>
      <c r="D6" s="8"/>
      <c r="E6" s="9"/>
      <c r="F6" s="9"/>
      <c r="G6" s="9"/>
      <c r="H6" s="9"/>
    </row>
    <row r="7" ht="15">
      <c r="B7" s="5" t="s">
        <v>0</v>
      </c>
    </row>
    <row r="9" ht="15">
      <c r="B9" s="4" t="s">
        <v>1</v>
      </c>
    </row>
    <row r="10" spans="2:8" ht="15">
      <c r="B10" s="4"/>
      <c r="E10" s="79" t="s">
        <v>115</v>
      </c>
      <c r="F10" s="79"/>
      <c r="G10" s="79" t="s">
        <v>116</v>
      </c>
      <c r="H10" s="79"/>
    </row>
    <row r="11" spans="5:8" ht="15">
      <c r="E11" s="54"/>
      <c r="F11" s="54" t="s">
        <v>121</v>
      </c>
      <c r="G11" s="1"/>
      <c r="H11" s="55" t="s">
        <v>121</v>
      </c>
    </row>
    <row r="12" spans="5:8" ht="15">
      <c r="E12" s="54" t="s">
        <v>92</v>
      </c>
      <c r="F12" s="54" t="s">
        <v>122</v>
      </c>
      <c r="G12" s="54" t="s">
        <v>92</v>
      </c>
      <c r="H12" s="54" t="s">
        <v>122</v>
      </c>
    </row>
    <row r="13" spans="5:8" ht="15">
      <c r="E13" s="54" t="s">
        <v>117</v>
      </c>
      <c r="F13" s="55" t="s">
        <v>118</v>
      </c>
      <c r="G13" s="54" t="s">
        <v>117</v>
      </c>
      <c r="H13" s="54" t="s">
        <v>118</v>
      </c>
    </row>
    <row r="14" spans="5:8" ht="15">
      <c r="E14" s="54" t="s">
        <v>3</v>
      </c>
      <c r="F14" s="54" t="s">
        <v>3</v>
      </c>
      <c r="G14" s="54" t="s">
        <v>119</v>
      </c>
      <c r="H14" s="54" t="s">
        <v>120</v>
      </c>
    </row>
    <row r="15" spans="5:8" ht="15">
      <c r="E15" s="56" t="s">
        <v>185</v>
      </c>
      <c r="F15" s="56" t="s">
        <v>184</v>
      </c>
      <c r="G15" s="56" t="s">
        <v>185</v>
      </c>
      <c r="H15" s="56" t="s">
        <v>184</v>
      </c>
    </row>
    <row r="16" spans="5:8" ht="15">
      <c r="E16" s="54" t="s">
        <v>4</v>
      </c>
      <c r="F16" s="54" t="s">
        <v>4</v>
      </c>
      <c r="G16" s="54" t="s">
        <v>4</v>
      </c>
      <c r="H16" s="54" t="s">
        <v>4</v>
      </c>
    </row>
    <row r="17" spans="5:7" ht="15">
      <c r="E17" s="42"/>
      <c r="F17" s="42"/>
      <c r="G17" s="42"/>
    </row>
    <row r="18" spans="2:8" ht="15">
      <c r="B18" s="43" t="s">
        <v>5</v>
      </c>
      <c r="C18" s="5" t="s">
        <v>6</v>
      </c>
      <c r="D18" s="5" t="s">
        <v>7</v>
      </c>
      <c r="E18" s="44">
        <f>G18-47204</f>
        <v>41352.216</v>
      </c>
      <c r="F18" s="67">
        <v>40240</v>
      </c>
      <c r="G18" s="44">
        <f>88556216/1000</f>
        <v>88556.216</v>
      </c>
      <c r="H18" s="67">
        <v>71657</v>
      </c>
    </row>
    <row r="19" spans="3:8" ht="15">
      <c r="C19" s="5" t="s">
        <v>8</v>
      </c>
      <c r="D19" s="5" t="s">
        <v>9</v>
      </c>
      <c r="E19" s="44">
        <f>G19</f>
        <v>0</v>
      </c>
      <c r="F19" s="67">
        <v>0</v>
      </c>
      <c r="G19" s="44">
        <v>0</v>
      </c>
      <c r="H19" s="67">
        <v>28</v>
      </c>
    </row>
    <row r="20" spans="3:8" ht="15.75" thickBot="1">
      <c r="C20" s="5" t="s">
        <v>10</v>
      </c>
      <c r="D20" s="5" t="s">
        <v>126</v>
      </c>
      <c r="E20" s="45">
        <f>G20-5432</f>
        <v>5377.013999999999</v>
      </c>
      <c r="F20" s="68">
        <v>2345</v>
      </c>
      <c r="G20" s="45">
        <f>9809014/1000+1000</f>
        <v>10809.014</v>
      </c>
      <c r="H20" s="68">
        <v>4747</v>
      </c>
    </row>
    <row r="21" spans="5:7" ht="15">
      <c r="E21" s="44"/>
      <c r="F21" s="3"/>
      <c r="G21" s="44"/>
    </row>
    <row r="22" spans="2:8" ht="15">
      <c r="B22" s="43" t="s">
        <v>11</v>
      </c>
      <c r="C22" s="5" t="s">
        <v>6</v>
      </c>
      <c r="D22" s="5" t="s">
        <v>127</v>
      </c>
      <c r="E22" s="44">
        <f>G22-5928</f>
        <v>5908.177</v>
      </c>
      <c r="F22" s="67">
        <v>22975</v>
      </c>
      <c r="G22" s="44">
        <f>10836177/1000+1000</f>
        <v>11836.177</v>
      </c>
      <c r="H22" s="67">
        <v>21194</v>
      </c>
    </row>
    <row r="23" spans="4:7" ht="15">
      <c r="D23" s="46" t="s">
        <v>134</v>
      </c>
      <c r="E23" s="44"/>
      <c r="F23" s="3"/>
      <c r="G23" s="44"/>
    </row>
    <row r="24" spans="4:7" ht="15">
      <c r="D24" s="46" t="s">
        <v>133</v>
      </c>
      <c r="E24" s="3"/>
      <c r="F24" s="3"/>
      <c r="G24" s="3"/>
    </row>
    <row r="25" spans="3:8" ht="15">
      <c r="C25" s="5" t="s">
        <v>8</v>
      </c>
      <c r="D25" s="5" t="s">
        <v>128</v>
      </c>
      <c r="E25" s="44">
        <f>G25+3243</f>
        <v>-3108.459</v>
      </c>
      <c r="F25" s="67">
        <v>-3482</v>
      </c>
      <c r="G25" s="44">
        <f>-6351459/1000</f>
        <v>-6351.459</v>
      </c>
      <c r="H25" s="67">
        <v>-6268</v>
      </c>
    </row>
    <row r="26" spans="3:8" ht="15">
      <c r="C26" s="5" t="s">
        <v>10</v>
      </c>
      <c r="D26" s="5" t="s">
        <v>12</v>
      </c>
      <c r="E26" s="44">
        <f>G26+1520</f>
        <v>-1529.955</v>
      </c>
      <c r="F26" s="67">
        <v>-1475</v>
      </c>
      <c r="G26" s="44">
        <f>-3049955/1000</f>
        <v>-3049.955</v>
      </c>
      <c r="H26" s="67">
        <v>-3035</v>
      </c>
    </row>
    <row r="27" spans="3:8" ht="15">
      <c r="C27" s="5" t="s">
        <v>13</v>
      </c>
      <c r="D27" s="5" t="s">
        <v>14</v>
      </c>
      <c r="E27" s="44">
        <f>G27</f>
        <v>0</v>
      </c>
      <c r="F27" s="67">
        <v>-24625</v>
      </c>
      <c r="G27" s="44">
        <v>0</v>
      </c>
      <c r="H27" s="67">
        <v>-13597</v>
      </c>
    </row>
    <row r="28" spans="3:8" ht="15.75" customHeight="1">
      <c r="C28" s="5" t="s">
        <v>15</v>
      </c>
      <c r="D28" s="5" t="s">
        <v>132</v>
      </c>
      <c r="E28" s="47">
        <f>SUM(E22:E27)</f>
        <v>1269.763</v>
      </c>
      <c r="F28" s="47">
        <f>SUM(F22:F27)</f>
        <v>-6607</v>
      </c>
      <c r="G28" s="47">
        <f>SUM(G22:G27)</f>
        <v>2434.763</v>
      </c>
      <c r="H28" s="47">
        <f>SUM(H22:H27)</f>
        <v>-1706</v>
      </c>
    </row>
    <row r="29" spans="4:7" ht="15">
      <c r="D29" s="46" t="s">
        <v>131</v>
      </c>
      <c r="E29" s="44"/>
      <c r="F29" s="3"/>
      <c r="G29" s="44"/>
    </row>
    <row r="30" spans="3:8" ht="15">
      <c r="C30" s="5" t="s">
        <v>16</v>
      </c>
      <c r="D30" s="5" t="s">
        <v>129</v>
      </c>
      <c r="E30" s="44"/>
      <c r="F30" s="44"/>
      <c r="G30" s="44"/>
      <c r="H30" s="44"/>
    </row>
    <row r="31" spans="4:8" ht="15">
      <c r="D31" s="46" t="s">
        <v>130</v>
      </c>
      <c r="E31" s="44">
        <f>G31-30046</f>
        <v>365.3909999999996</v>
      </c>
      <c r="F31" s="67">
        <v>1738</v>
      </c>
      <c r="G31" s="44">
        <f>30411391/1000</f>
        <v>30411.391</v>
      </c>
      <c r="H31" s="67">
        <v>9493</v>
      </c>
    </row>
    <row r="32" spans="3:8" ht="15.75" customHeight="1">
      <c r="C32" s="5" t="s">
        <v>17</v>
      </c>
      <c r="D32" s="5" t="s">
        <v>132</v>
      </c>
      <c r="E32" s="47">
        <f>SUM(E28:E31)</f>
        <v>1635.1539999999995</v>
      </c>
      <c r="F32" s="47">
        <f>SUM(F28:F31)</f>
        <v>-4869</v>
      </c>
      <c r="G32" s="47">
        <f>SUM(G28:G31)</f>
        <v>32846.154</v>
      </c>
      <c r="H32" s="47">
        <f>SUM(H28:H31)</f>
        <v>7787</v>
      </c>
    </row>
    <row r="33" spans="4:8" ht="14.25" customHeight="1">
      <c r="D33" s="46" t="s">
        <v>131</v>
      </c>
      <c r="E33" s="44"/>
      <c r="F33" s="44"/>
      <c r="G33" s="44"/>
      <c r="H33" s="44"/>
    </row>
    <row r="34" spans="3:8" ht="15">
      <c r="C34" s="5" t="s">
        <v>18</v>
      </c>
      <c r="D34" s="5" t="s">
        <v>135</v>
      </c>
      <c r="E34" s="44">
        <f>G34+1419</f>
        <v>-288.80500000000006</v>
      </c>
      <c r="F34" s="67">
        <v>-286</v>
      </c>
      <c r="G34" s="44">
        <f>-1707805/1000</f>
        <v>-1707.805</v>
      </c>
      <c r="H34" s="67">
        <v>-2945</v>
      </c>
    </row>
    <row r="35" spans="3:8" ht="15.75" customHeight="1">
      <c r="C35" s="5" t="s">
        <v>20</v>
      </c>
      <c r="D35" s="5" t="s">
        <v>137</v>
      </c>
      <c r="E35" s="47">
        <f>SUM(E32:E34)</f>
        <v>1346.3489999999995</v>
      </c>
      <c r="F35" s="47">
        <f>SUM(F32:F34)</f>
        <v>-5155</v>
      </c>
      <c r="G35" s="47">
        <f>SUM(G32:G34)</f>
        <v>31138.349000000002</v>
      </c>
      <c r="H35" s="47">
        <f>SUM(H32:H34)</f>
        <v>4842</v>
      </c>
    </row>
    <row r="36" spans="4:8" ht="14.25" customHeight="1">
      <c r="D36" s="63" t="s">
        <v>136</v>
      </c>
      <c r="E36" s="44"/>
      <c r="F36" s="44"/>
      <c r="G36" s="44"/>
      <c r="H36" s="44"/>
    </row>
    <row r="37" spans="4:8" ht="15">
      <c r="D37" s="5" t="s">
        <v>138</v>
      </c>
      <c r="E37" s="44">
        <f>G37+674</f>
        <v>-316.144</v>
      </c>
      <c r="F37" s="67">
        <v>-1122</v>
      </c>
      <c r="G37" s="44">
        <f>-990144/1000</f>
        <v>-990.144</v>
      </c>
      <c r="H37" s="67">
        <v>-2052</v>
      </c>
    </row>
    <row r="38" spans="3:8" ht="15.75" customHeight="1">
      <c r="C38" s="5" t="s">
        <v>21</v>
      </c>
      <c r="D38" s="5" t="s">
        <v>139</v>
      </c>
      <c r="E38" s="47">
        <f>SUM(E35:E37)</f>
        <v>1030.2049999999995</v>
      </c>
      <c r="F38" s="47">
        <f>SUM(F35:F37)</f>
        <v>-6277</v>
      </c>
      <c r="G38" s="47">
        <f>SUM(G35:G37)</f>
        <v>30148.205</v>
      </c>
      <c r="H38" s="47">
        <f>SUM(H35:H37)</f>
        <v>2790</v>
      </c>
    </row>
    <row r="39" spans="4:8" ht="14.25" customHeight="1">
      <c r="D39" s="46" t="s">
        <v>140</v>
      </c>
      <c r="E39" s="44"/>
      <c r="F39" s="44"/>
      <c r="G39" s="44"/>
      <c r="H39" s="44"/>
    </row>
    <row r="40" spans="3:8" ht="15">
      <c r="C40" s="5" t="s">
        <v>22</v>
      </c>
      <c r="D40" s="5" t="s">
        <v>141</v>
      </c>
      <c r="E40" s="44">
        <f>G40</f>
        <v>0</v>
      </c>
      <c r="F40" s="44">
        <v>0</v>
      </c>
      <c r="G40" s="44">
        <v>0</v>
      </c>
      <c r="H40" s="44">
        <v>0</v>
      </c>
    </row>
    <row r="41" spans="4:8" ht="15">
      <c r="D41" s="5" t="s">
        <v>138</v>
      </c>
      <c r="E41" s="44">
        <f>G41</f>
        <v>0</v>
      </c>
      <c r="F41" s="44">
        <v>0</v>
      </c>
      <c r="G41" s="44">
        <v>0</v>
      </c>
      <c r="H41" s="44">
        <v>0</v>
      </c>
    </row>
    <row r="42" spans="4:8" ht="15">
      <c r="D42" s="5" t="s">
        <v>142</v>
      </c>
      <c r="E42" s="44"/>
      <c r="F42" s="44"/>
      <c r="G42" s="44"/>
      <c r="H42" s="44"/>
    </row>
    <row r="43" spans="4:8" ht="15">
      <c r="D43" s="63" t="s">
        <v>143</v>
      </c>
      <c r="E43" s="44">
        <f>G43</f>
        <v>0</v>
      </c>
      <c r="F43" s="44">
        <v>0</v>
      </c>
      <c r="G43" s="44">
        <v>0</v>
      </c>
      <c r="H43" s="44">
        <v>0</v>
      </c>
    </row>
    <row r="44" spans="3:8" ht="31.5" thickBot="1">
      <c r="C44" s="48" t="s">
        <v>24</v>
      </c>
      <c r="D44" s="49" t="s">
        <v>144</v>
      </c>
      <c r="E44" s="50">
        <f>SUM(E38:E43)</f>
        <v>1030.2049999999995</v>
      </c>
      <c r="F44" s="50">
        <f>SUM(F38:F43)</f>
        <v>-6277</v>
      </c>
      <c r="G44" s="50">
        <f>SUM(G38:G43)</f>
        <v>30148.205</v>
      </c>
      <c r="H44" s="50">
        <f>SUM(H38:H43)</f>
        <v>2790</v>
      </c>
    </row>
    <row r="45" ht="15">
      <c r="G45" s="51"/>
    </row>
    <row r="46" spans="2:4" ht="15">
      <c r="B46" s="43" t="s">
        <v>25</v>
      </c>
      <c r="C46" s="5" t="s">
        <v>145</v>
      </c>
      <c r="D46" s="3"/>
    </row>
    <row r="47" spans="3:7" ht="15">
      <c r="C47" s="5" t="s">
        <v>20</v>
      </c>
      <c r="D47" s="5" t="s">
        <v>147</v>
      </c>
      <c r="E47" s="3"/>
      <c r="F47" s="3"/>
      <c r="G47" s="3"/>
    </row>
    <row r="48" spans="4:8" ht="15">
      <c r="D48" s="46" t="s">
        <v>146</v>
      </c>
      <c r="E48" s="52">
        <f>(E44/259502.583)*100</f>
        <v>0.3969921948715244</v>
      </c>
      <c r="F48" s="52">
        <f>(F44/259502.583)*100</f>
        <v>-2.418858389552138</v>
      </c>
      <c r="G48" s="52">
        <f>(G44/259502.583)*100</f>
        <v>11.61768975532702</v>
      </c>
      <c r="H48" s="52">
        <f>(H44/259502.583)*100</f>
        <v>1.07513380704962</v>
      </c>
    </row>
    <row r="49" spans="3:7" ht="15">
      <c r="C49" s="5" t="s">
        <v>107</v>
      </c>
      <c r="D49" s="5" t="s">
        <v>169</v>
      </c>
      <c r="E49" s="3"/>
      <c r="F49" s="3"/>
      <c r="G49" s="3"/>
    </row>
    <row r="50" spans="4:8" ht="15">
      <c r="D50" s="46" t="s">
        <v>146</v>
      </c>
      <c r="E50" s="52">
        <f>(E44/262104.583)*100</f>
        <v>0.39305112036137096</v>
      </c>
      <c r="F50" s="52">
        <f>(F44/262104.583)*100</f>
        <v>-2.394845572005889</v>
      </c>
      <c r="G50" s="52">
        <f>(G44/262104.583)*100</f>
        <v>11.502357057220934</v>
      </c>
      <c r="H50" s="52">
        <f>(H44/262104.583)*100</f>
        <v>1.0644605935791667</v>
      </c>
    </row>
    <row r="51" spans="3:7" ht="15">
      <c r="C51" s="5" t="s">
        <v>148</v>
      </c>
      <c r="E51" s="53"/>
      <c r="F51" s="53"/>
      <c r="G51" s="53"/>
    </row>
    <row r="52" spans="3:7" ht="15">
      <c r="C52" s="5" t="s">
        <v>149</v>
      </c>
      <c r="E52" s="53"/>
      <c r="F52" s="53"/>
      <c r="G52" s="53"/>
    </row>
    <row r="53" spans="3:7" ht="15">
      <c r="C53" s="5" t="s">
        <v>181</v>
      </c>
      <c r="E53" s="53"/>
      <c r="F53" s="53"/>
      <c r="G53" s="53"/>
    </row>
    <row r="54" spans="3:7" ht="15">
      <c r="C54" s="5" t="s">
        <v>182</v>
      </c>
      <c r="E54" s="53"/>
      <c r="F54" s="53"/>
      <c r="G54" s="53"/>
    </row>
  </sheetData>
  <mergeCells count="2">
    <mergeCell ref="E10:F10"/>
    <mergeCell ref="G10:H10"/>
  </mergeCells>
  <printOptions/>
  <pageMargins left="0.5" right="0" top="0.5" bottom="0.5" header="0" footer="0.2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6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9.140625" style="3" customWidth="1"/>
    <col min="2" max="2" width="60.7109375" style="3" customWidth="1"/>
    <col min="3" max="3" width="13.7109375" style="3" customWidth="1"/>
    <col min="4" max="4" width="5.7109375" style="3" customWidth="1"/>
    <col min="5" max="5" width="13.7109375" style="3" customWidth="1"/>
    <col min="6" max="16384" width="9.140625" style="3" customWidth="1"/>
  </cols>
  <sheetData>
    <row r="2" ht="15">
      <c r="B2" s="2" t="s">
        <v>123</v>
      </c>
    </row>
    <row r="3" ht="15">
      <c r="B3" s="31" t="s">
        <v>87</v>
      </c>
    </row>
    <row r="5" spans="2:5" ht="15">
      <c r="B5" s="4" t="s">
        <v>195</v>
      </c>
      <c r="C5" s="5"/>
      <c r="D5" s="5"/>
      <c r="E5" s="6"/>
    </row>
    <row r="6" spans="2:5" ht="15">
      <c r="B6" s="7" t="s">
        <v>183</v>
      </c>
      <c r="C6" s="8"/>
      <c r="D6" s="8"/>
      <c r="E6" s="9"/>
    </row>
    <row r="7" spans="2:5" ht="15">
      <c r="B7" s="5" t="s">
        <v>0</v>
      </c>
      <c r="C7" s="5"/>
      <c r="D7" s="5"/>
      <c r="E7" s="5"/>
    </row>
    <row r="9" ht="15">
      <c r="B9" s="2" t="s">
        <v>50</v>
      </c>
    </row>
    <row r="10" spans="3:5" ht="15">
      <c r="C10" s="32" t="s">
        <v>26</v>
      </c>
      <c r="E10" s="32" t="s">
        <v>26</v>
      </c>
    </row>
    <row r="11" spans="3:5" ht="15">
      <c r="C11" s="32" t="s">
        <v>151</v>
      </c>
      <c r="E11" s="32" t="s">
        <v>27</v>
      </c>
    </row>
    <row r="12" spans="3:5" ht="15">
      <c r="C12" s="32" t="s">
        <v>152</v>
      </c>
      <c r="E12" s="32" t="s">
        <v>28</v>
      </c>
    </row>
    <row r="13" spans="3:5" ht="15">
      <c r="C13" s="32" t="s">
        <v>150</v>
      </c>
      <c r="E13" s="32" t="s">
        <v>153</v>
      </c>
    </row>
    <row r="14" spans="3:5" ht="15">
      <c r="C14" s="64">
        <v>37072</v>
      </c>
      <c r="E14" s="33" t="s">
        <v>101</v>
      </c>
    </row>
    <row r="15" spans="3:5" ht="15">
      <c r="C15" s="32" t="s">
        <v>4</v>
      </c>
      <c r="E15" s="32" t="s">
        <v>4</v>
      </c>
    </row>
    <row r="16" ht="15">
      <c r="C16" s="3" t="s">
        <v>100</v>
      </c>
    </row>
    <row r="17" spans="2:5" ht="15">
      <c r="B17" s="2" t="s">
        <v>154</v>
      </c>
      <c r="C17" s="34">
        <f>271149748/1000</f>
        <v>271149.748</v>
      </c>
      <c r="D17" s="21"/>
      <c r="E17" s="34">
        <f>272480669/1000</f>
        <v>272480.669</v>
      </c>
    </row>
    <row r="18" spans="2:5" ht="15">
      <c r="B18" s="2" t="s">
        <v>29</v>
      </c>
      <c r="C18" s="72">
        <f>56193627/1000</f>
        <v>56193.627</v>
      </c>
      <c r="D18" s="21"/>
      <c r="E18" s="34">
        <f>25988712/1000</f>
        <v>25988.712</v>
      </c>
    </row>
    <row r="19" spans="2:5" ht="15">
      <c r="B19" s="2" t="s">
        <v>155</v>
      </c>
      <c r="C19" s="72">
        <v>217038.079</v>
      </c>
      <c r="D19" s="21"/>
      <c r="E19" s="34">
        <f>217038079/1000</f>
        <v>217038.079</v>
      </c>
    </row>
    <row r="20" spans="2:5" ht="15">
      <c r="B20" s="2" t="s">
        <v>30</v>
      </c>
      <c r="C20" s="34">
        <f>23632760/1000</f>
        <v>23632.76</v>
      </c>
      <c r="D20" s="21"/>
      <c r="E20" s="34">
        <f>26553082/1000</f>
        <v>26553.082</v>
      </c>
    </row>
    <row r="21" spans="2:5" ht="15">
      <c r="B21" s="2" t="s">
        <v>32</v>
      </c>
      <c r="C21" s="34">
        <f>27978473/1000</f>
        <v>27978.473</v>
      </c>
      <c r="D21" s="21"/>
      <c r="E21" s="34">
        <f>28003123/1000</f>
        <v>28003.123</v>
      </c>
    </row>
    <row r="22" spans="2:5" ht="15">
      <c r="B22" s="2" t="s">
        <v>31</v>
      </c>
      <c r="C22" s="34">
        <f>1545010/1000</f>
        <v>1545.01</v>
      </c>
      <c r="D22" s="21"/>
      <c r="E22" s="34">
        <f>1545010/1000</f>
        <v>1545.01</v>
      </c>
    </row>
    <row r="23" spans="3:5" ht="15">
      <c r="C23" s="71"/>
      <c r="D23" s="21"/>
      <c r="E23" s="21"/>
    </row>
    <row r="24" spans="2:5" ht="15">
      <c r="B24" s="2" t="s">
        <v>33</v>
      </c>
      <c r="C24" s="21"/>
      <c r="D24" s="21"/>
      <c r="E24" s="21"/>
    </row>
    <row r="25" spans="2:5" ht="15">
      <c r="B25" s="35" t="s">
        <v>156</v>
      </c>
      <c r="C25" s="36">
        <f>63515320/1000</f>
        <v>63515.32</v>
      </c>
      <c r="D25" s="21"/>
      <c r="E25" s="37">
        <f>64289897/1000</f>
        <v>64289.897</v>
      </c>
    </row>
    <row r="26" spans="2:5" ht="15">
      <c r="B26" s="35" t="s">
        <v>157</v>
      </c>
      <c r="C26" s="38">
        <f>541385700/1000</f>
        <v>541385.7</v>
      </c>
      <c r="D26" s="21"/>
      <c r="E26" s="38">
        <f>559220676/1000</f>
        <v>559220.676</v>
      </c>
    </row>
    <row r="27" spans="2:5" ht="15">
      <c r="B27" s="35" t="s">
        <v>158</v>
      </c>
      <c r="C27" s="38">
        <f>(45048120+20845334+1015260)/1000</f>
        <v>66908.714</v>
      </c>
      <c r="D27" s="21"/>
      <c r="E27" s="38">
        <f>66292960/1000</f>
        <v>66292.96</v>
      </c>
    </row>
    <row r="28" spans="2:5" ht="15">
      <c r="B28" s="35" t="s">
        <v>159</v>
      </c>
      <c r="C28" s="38">
        <f>2270990/1000</f>
        <v>2270.99</v>
      </c>
      <c r="D28" s="21"/>
      <c r="E28" s="38">
        <f>2270990/1000</f>
        <v>2270.99</v>
      </c>
    </row>
    <row r="29" spans="2:5" ht="15">
      <c r="B29" s="35" t="s">
        <v>160</v>
      </c>
      <c r="C29" s="38">
        <f>2870793/1000</f>
        <v>2870.793</v>
      </c>
      <c r="D29" s="21"/>
      <c r="E29" s="38">
        <f>2472708/1000</f>
        <v>2472.708</v>
      </c>
    </row>
    <row r="30" spans="2:5" ht="15">
      <c r="B30" s="35" t="s">
        <v>34</v>
      </c>
      <c r="C30" s="38">
        <f>52940364/1000</f>
        <v>52940.364</v>
      </c>
      <c r="D30" s="21"/>
      <c r="E30" s="38">
        <f>45049268/1000</f>
        <v>45049.268</v>
      </c>
    </row>
    <row r="31" spans="3:5" ht="12.75" customHeight="1">
      <c r="C31" s="39">
        <f>SUM(C25:C30)</f>
        <v>729891.8809999998</v>
      </c>
      <c r="D31" s="21"/>
      <c r="E31" s="39">
        <f>SUM(E25:E30)</f>
        <v>739596.499</v>
      </c>
    </row>
    <row r="32" spans="3:5" ht="12" customHeight="1">
      <c r="C32" s="38"/>
      <c r="D32" s="21"/>
      <c r="E32" s="38"/>
    </row>
    <row r="33" spans="2:5" ht="15">
      <c r="B33" s="2" t="s">
        <v>35</v>
      </c>
      <c r="C33" s="38"/>
      <c r="D33" s="21"/>
      <c r="E33" s="38"/>
    </row>
    <row r="34" spans="2:5" ht="15">
      <c r="B34" s="35" t="s">
        <v>180</v>
      </c>
      <c r="C34" s="38">
        <f>(35632365+97249654+2527051+4135492+54226630-1000000)/1000</f>
        <v>192771.192</v>
      </c>
      <c r="D34" s="21"/>
      <c r="E34" s="38">
        <v>162399.134</v>
      </c>
    </row>
    <row r="35" spans="2:5" ht="15">
      <c r="B35" s="35" t="s">
        <v>167</v>
      </c>
      <c r="C35" s="38">
        <f>2864492/1000</f>
        <v>2864.492</v>
      </c>
      <c r="D35" s="21"/>
      <c r="E35" s="38">
        <f>2589351/1000</f>
        <v>2589.351</v>
      </c>
    </row>
    <row r="36" spans="2:5" ht="15">
      <c r="B36" s="35" t="s">
        <v>161</v>
      </c>
      <c r="C36" s="38">
        <f>69031008/1000</f>
        <v>69031.008</v>
      </c>
      <c r="D36" s="21"/>
      <c r="E36" s="38">
        <f>90889413/1000</f>
        <v>90889.413</v>
      </c>
    </row>
    <row r="37" spans="2:5" ht="15">
      <c r="B37" s="35" t="s">
        <v>36</v>
      </c>
      <c r="C37" s="38">
        <f>84938000/1000</f>
        <v>84938</v>
      </c>
      <c r="D37" s="21"/>
      <c r="E37" s="38">
        <f>102625000/1000</f>
        <v>102625</v>
      </c>
    </row>
    <row r="38" spans="2:5" ht="15">
      <c r="B38" s="35" t="s">
        <v>162</v>
      </c>
      <c r="C38" s="38">
        <f>146256/1000</f>
        <v>146.256</v>
      </c>
      <c r="D38" s="21"/>
      <c r="E38" s="38">
        <f>483739/1000</f>
        <v>483.739</v>
      </c>
    </row>
    <row r="39" spans="2:5" ht="15">
      <c r="B39" s="35" t="s">
        <v>38</v>
      </c>
      <c r="C39" s="38">
        <f>14555703/1000</f>
        <v>14555.703</v>
      </c>
      <c r="D39" s="21"/>
      <c r="E39" s="38">
        <f>17764863/1000</f>
        <v>17764.863</v>
      </c>
    </row>
    <row r="40" spans="2:5" ht="15">
      <c r="B40" s="35" t="s">
        <v>37</v>
      </c>
      <c r="C40" s="38">
        <f>20770030/1000</f>
        <v>20770.03</v>
      </c>
      <c r="D40" s="21"/>
      <c r="E40" s="38">
        <f>18417449/1000</f>
        <v>18417.449</v>
      </c>
    </row>
    <row r="41" spans="3:5" ht="15">
      <c r="C41" s="39">
        <f>SUM(C34:C40)</f>
        <v>385076.681</v>
      </c>
      <c r="D41" s="21"/>
      <c r="E41" s="39">
        <f>SUM(E34:E40)</f>
        <v>395168.949</v>
      </c>
    </row>
    <row r="42" spans="2:5" ht="23.25" customHeight="1">
      <c r="B42" s="2" t="s">
        <v>39</v>
      </c>
      <c r="C42" s="21">
        <f>C31-C41</f>
        <v>344815.19999999984</v>
      </c>
      <c r="D42" s="21"/>
      <c r="E42" s="21">
        <f>E31-E41</f>
        <v>344427.54999999993</v>
      </c>
    </row>
    <row r="43" spans="3:5" ht="23.25" customHeight="1" thickBot="1">
      <c r="C43" s="65">
        <f>SUM(C17:C22)+C42</f>
        <v>942352.8969999999</v>
      </c>
      <c r="D43" s="21"/>
      <c r="E43" s="65">
        <f>SUM(E17:E22)+E42</f>
        <v>916036.225</v>
      </c>
    </row>
    <row r="44" spans="3:5" ht="15.75" thickTop="1">
      <c r="C44" s="21"/>
      <c r="D44" s="21"/>
      <c r="E44" s="21"/>
    </row>
    <row r="45" spans="3:5" ht="15">
      <c r="C45" s="21"/>
      <c r="D45" s="21"/>
      <c r="E45" s="21"/>
    </row>
    <row r="46" spans="2:5" ht="15">
      <c r="B46" s="2" t="s">
        <v>40</v>
      </c>
      <c r="C46" s="21"/>
      <c r="D46" s="21"/>
      <c r="E46" s="21"/>
    </row>
    <row r="47" spans="2:5" ht="15">
      <c r="B47" s="40" t="s">
        <v>41</v>
      </c>
      <c r="C47" s="21">
        <v>259502.583</v>
      </c>
      <c r="D47" s="21"/>
      <c r="E47" s="21">
        <f>259502583/1000</f>
        <v>259502.583</v>
      </c>
    </row>
    <row r="48" spans="2:5" ht="15">
      <c r="B48" s="40" t="s">
        <v>42</v>
      </c>
      <c r="C48" s="21"/>
      <c r="D48" s="21"/>
      <c r="E48" s="21"/>
    </row>
    <row r="49" spans="2:5" ht="15">
      <c r="B49" s="35" t="s">
        <v>43</v>
      </c>
      <c r="C49" s="21">
        <v>402653.291</v>
      </c>
      <c r="D49" s="21"/>
      <c r="E49" s="21">
        <f>402653291/1000</f>
        <v>402653.291</v>
      </c>
    </row>
    <row r="50" spans="2:5" ht="15">
      <c r="B50" s="35" t="s">
        <v>44</v>
      </c>
      <c r="C50" s="21">
        <v>467</v>
      </c>
      <c r="D50" s="21"/>
      <c r="E50" s="21">
        <f>467000/1000</f>
        <v>467</v>
      </c>
    </row>
    <row r="51" spans="2:5" ht="15">
      <c r="B51" s="35" t="s">
        <v>45</v>
      </c>
      <c r="C51" s="21">
        <v>43571.593</v>
      </c>
      <c r="D51" s="21"/>
      <c r="E51" s="21">
        <f>43571593/1000</f>
        <v>43571.593</v>
      </c>
    </row>
    <row r="52" spans="2:5" ht="15">
      <c r="B52" s="35" t="s">
        <v>168</v>
      </c>
      <c r="C52" s="21">
        <v>357.324</v>
      </c>
      <c r="D52" s="21"/>
      <c r="E52" s="21">
        <f>372105/1000</f>
        <v>372.105</v>
      </c>
    </row>
    <row r="53" spans="2:5" ht="15">
      <c r="B53" s="35" t="s">
        <v>163</v>
      </c>
      <c r="C53" s="21">
        <f>(-107393501)/1000</f>
        <v>-107393.501</v>
      </c>
      <c r="D53" s="21"/>
      <c r="E53" s="21">
        <f>-137541706/1000</f>
        <v>-137541.706</v>
      </c>
    </row>
    <row r="54" spans="3:5" ht="15">
      <c r="C54" s="41">
        <f>SUM(C47:C53)</f>
        <v>599158.29</v>
      </c>
      <c r="D54" s="21"/>
      <c r="E54" s="41">
        <f>SUM(E47:E53)</f>
        <v>569024.866</v>
      </c>
    </row>
    <row r="55" spans="2:5" ht="15">
      <c r="B55" s="2" t="s">
        <v>46</v>
      </c>
      <c r="C55" s="21">
        <f>68654811/1000</f>
        <v>68654.811</v>
      </c>
      <c r="D55" s="21"/>
      <c r="E55" s="21">
        <f>67699537/1000</f>
        <v>67699.537</v>
      </c>
    </row>
    <row r="56" spans="2:5" ht="15">
      <c r="B56" s="2" t="s">
        <v>164</v>
      </c>
      <c r="C56" s="21"/>
      <c r="D56" s="21"/>
      <c r="E56" s="21"/>
    </row>
    <row r="57" spans="2:5" ht="15">
      <c r="B57" s="3" t="s">
        <v>47</v>
      </c>
      <c r="C57" s="21">
        <f>27370000/1000</f>
        <v>27370</v>
      </c>
      <c r="D57" s="21"/>
      <c r="E57" s="21">
        <f>27370000/1000</f>
        <v>27370</v>
      </c>
    </row>
    <row r="58" spans="2:5" ht="15">
      <c r="B58" s="3" t="s">
        <v>48</v>
      </c>
      <c r="C58" s="21">
        <f>67613993/1000</f>
        <v>67613.993</v>
      </c>
      <c r="D58" s="21"/>
      <c r="E58" s="21">
        <f>67551291/1000</f>
        <v>67551.291</v>
      </c>
    </row>
    <row r="59" spans="2:5" ht="15">
      <c r="B59" s="3" t="s">
        <v>165</v>
      </c>
      <c r="C59" s="21">
        <f>73555303/1000</f>
        <v>73555.303</v>
      </c>
      <c r="D59" s="21"/>
      <c r="E59" s="21">
        <f>73555303/1000</f>
        <v>73555.303</v>
      </c>
    </row>
    <row r="60" spans="2:5" ht="15">
      <c r="B60" s="3" t="s">
        <v>162</v>
      </c>
      <c r="C60" s="21">
        <f>684520/1000</f>
        <v>684.52</v>
      </c>
      <c r="D60" s="21"/>
      <c r="E60" s="21">
        <f>684520/1000</f>
        <v>684.52</v>
      </c>
    </row>
    <row r="61" spans="2:5" ht="15">
      <c r="B61" s="3" t="s">
        <v>49</v>
      </c>
      <c r="C61" s="21">
        <f>105315980/1000</f>
        <v>105315.98</v>
      </c>
      <c r="D61" s="21"/>
      <c r="E61" s="21">
        <f>110150708/1000</f>
        <v>110150.708</v>
      </c>
    </row>
    <row r="62" spans="3:5" ht="23.25" customHeight="1" thickBot="1">
      <c r="C62" s="65">
        <f>SUM(C54:C61)</f>
        <v>942352.897</v>
      </c>
      <c r="D62" s="21"/>
      <c r="E62" s="65">
        <f>SUM(E54:E61)</f>
        <v>916036.225</v>
      </c>
    </row>
    <row r="63" spans="3:5" ht="15.75" thickTop="1">
      <c r="C63" s="71"/>
      <c r="D63" s="21"/>
      <c r="E63" s="21"/>
    </row>
    <row r="64" spans="3:5" ht="15">
      <c r="C64" s="21"/>
      <c r="D64" s="21"/>
      <c r="E64" s="21"/>
    </row>
    <row r="65" spans="2:5" ht="15">
      <c r="B65" s="2" t="s">
        <v>166</v>
      </c>
      <c r="C65" s="66">
        <f>(C54-C21)/C47</f>
        <v>2.201056384090019</v>
      </c>
      <c r="D65" s="21"/>
      <c r="E65" s="66">
        <f>(E54-E21)/E47</f>
        <v>2.084841456086778</v>
      </c>
    </row>
    <row r="66" spans="3:5" ht="15">
      <c r="C66" s="21"/>
      <c r="D66" s="21"/>
      <c r="E66" s="21"/>
    </row>
  </sheetData>
  <printOptions/>
  <pageMargins left="0.5" right="0.5" top="1" bottom="1" header="0" footer="0"/>
  <pageSetup horizontalDpi="300" verticalDpi="300" orientation="portrait" paperSize="9" scale="90" r:id="rId1"/>
  <rowBreaks count="1" manualBreakCount="1">
    <brk id="44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173"/>
  <sheetViews>
    <sheetView view="pageBreakPreview" zoomScaleSheetLayoutView="100" workbookViewId="0" topLeftCell="A118">
      <selection activeCell="B131" sqref="B131"/>
    </sheetView>
  </sheetViews>
  <sheetFormatPr defaultColWidth="9.140625" defaultRowHeight="12.75"/>
  <cols>
    <col min="1" max="1" width="3.140625" style="3" customWidth="1"/>
    <col min="2" max="3" width="3.7109375" style="3" customWidth="1"/>
    <col min="4" max="9" width="9.140625" style="3" customWidth="1"/>
    <col min="10" max="10" width="12.7109375" style="3" customWidth="1"/>
    <col min="11" max="12" width="13.28125" style="3" customWidth="1"/>
    <col min="13" max="16384" width="9.140625" style="3" customWidth="1"/>
  </cols>
  <sheetData>
    <row r="2" ht="15">
      <c r="B2" s="2" t="s">
        <v>123</v>
      </c>
    </row>
    <row r="3" ht="15">
      <c r="B3" s="31" t="s">
        <v>87</v>
      </c>
    </row>
    <row r="5" spans="2:5" ht="15">
      <c r="B5" s="4" t="s">
        <v>195</v>
      </c>
      <c r="C5" s="5"/>
      <c r="D5" s="5"/>
      <c r="E5" s="6"/>
    </row>
    <row r="6" spans="2:12" ht="15">
      <c r="B6" s="7" t="s">
        <v>183</v>
      </c>
      <c r="C6" s="8"/>
      <c r="D6" s="8"/>
      <c r="E6" s="9"/>
      <c r="F6" s="9"/>
      <c r="G6" s="9"/>
      <c r="H6" s="9"/>
      <c r="I6" s="9"/>
      <c r="J6" s="9"/>
      <c r="K6" s="9"/>
      <c r="L6" s="9"/>
    </row>
    <row r="7" ht="15">
      <c r="B7" s="4"/>
    </row>
    <row r="8" ht="15">
      <c r="B8" s="2" t="s">
        <v>51</v>
      </c>
    </row>
    <row r="10" spans="2:3" ht="15">
      <c r="B10" s="10" t="s">
        <v>5</v>
      </c>
      <c r="C10" s="2" t="s">
        <v>52</v>
      </c>
    </row>
    <row r="11" ht="15">
      <c r="C11" s="3" t="s">
        <v>170</v>
      </c>
    </row>
    <row r="12" ht="15">
      <c r="C12" s="3" t="s">
        <v>171</v>
      </c>
    </row>
    <row r="13" ht="15">
      <c r="C13" s="3" t="s">
        <v>172</v>
      </c>
    </row>
    <row r="16" spans="2:3" ht="15">
      <c r="B16" s="10" t="s">
        <v>11</v>
      </c>
      <c r="C16" s="2" t="s">
        <v>14</v>
      </c>
    </row>
    <row r="17" spans="3:11" ht="15">
      <c r="C17" s="3" t="s">
        <v>199</v>
      </c>
      <c r="K17" s="11"/>
    </row>
    <row r="18" ht="15">
      <c r="K18" s="11"/>
    </row>
    <row r="19" ht="15">
      <c r="L19" s="12"/>
    </row>
    <row r="20" spans="2:3" ht="15">
      <c r="B20" s="10" t="s">
        <v>25</v>
      </c>
      <c r="C20" s="2" t="s">
        <v>23</v>
      </c>
    </row>
    <row r="21" ht="15">
      <c r="C21" s="3" t="s">
        <v>200</v>
      </c>
    </row>
    <row r="24" spans="2:3" ht="15">
      <c r="B24" s="10" t="s">
        <v>53</v>
      </c>
      <c r="C24" s="2" t="s">
        <v>19</v>
      </c>
    </row>
    <row r="25" spans="2:12" ht="15">
      <c r="B25" s="13"/>
      <c r="C25" s="2"/>
      <c r="K25" s="57" t="s">
        <v>2</v>
      </c>
      <c r="L25" s="57" t="s">
        <v>2</v>
      </c>
    </row>
    <row r="26" spans="2:12" ht="15">
      <c r="B26" s="13"/>
      <c r="C26" s="2"/>
      <c r="K26" s="57" t="s">
        <v>3</v>
      </c>
      <c r="L26" s="57" t="s">
        <v>179</v>
      </c>
    </row>
    <row r="27" spans="2:12" ht="15">
      <c r="B27" s="13"/>
      <c r="C27" s="2"/>
      <c r="K27" s="59" t="s">
        <v>185</v>
      </c>
      <c r="L27" s="59" t="s">
        <v>185</v>
      </c>
    </row>
    <row r="28" spans="2:12" ht="15">
      <c r="B28" s="13"/>
      <c r="C28" s="2"/>
      <c r="K28" s="57" t="s">
        <v>4</v>
      </c>
      <c r="L28" s="57" t="s">
        <v>4</v>
      </c>
    </row>
    <row r="29" spans="2:12" ht="15">
      <c r="B29" s="13"/>
      <c r="C29" s="3" t="s">
        <v>103</v>
      </c>
      <c r="K29" s="73">
        <v>1780</v>
      </c>
      <c r="L29" s="73">
        <v>5543</v>
      </c>
    </row>
    <row r="30" spans="2:13" ht="15">
      <c r="B30" s="13"/>
      <c r="C30" s="3" t="s">
        <v>196</v>
      </c>
      <c r="K30" s="73">
        <v>-1491</v>
      </c>
      <c r="L30" s="73">
        <v>-3835</v>
      </c>
      <c r="M30" s="14"/>
    </row>
    <row r="31" spans="2:12" ht="15">
      <c r="B31" s="13"/>
      <c r="K31" s="74">
        <f>SUM(K29:K30)</f>
        <v>289</v>
      </c>
      <c r="L31" s="74">
        <f>SUM(L29:L30)</f>
        <v>1708</v>
      </c>
    </row>
    <row r="32" spans="2:12" ht="15">
      <c r="B32" s="13"/>
      <c r="C32" s="3" t="s">
        <v>102</v>
      </c>
      <c r="K32" s="15">
        <v>0</v>
      </c>
      <c r="L32" s="15">
        <v>0</v>
      </c>
    </row>
    <row r="33" spans="2:12" ht="15">
      <c r="B33" s="13"/>
      <c r="K33" s="74">
        <f>SUM(K31:K32)</f>
        <v>289</v>
      </c>
      <c r="L33" s="74">
        <f>SUM(L31:L32)</f>
        <v>1708</v>
      </c>
    </row>
    <row r="34" spans="2:12" ht="15">
      <c r="B34" s="13"/>
      <c r="C34" s="3" t="s">
        <v>89</v>
      </c>
      <c r="K34" s="73">
        <v>0</v>
      </c>
      <c r="L34" s="73">
        <v>0</v>
      </c>
    </row>
    <row r="35" spans="2:12" ht="15">
      <c r="B35" s="13"/>
      <c r="C35" s="2"/>
      <c r="K35" s="75">
        <f>SUM(K33:K34)</f>
        <v>289</v>
      </c>
      <c r="L35" s="75">
        <f>SUM(L33:L34)</f>
        <v>1708</v>
      </c>
    </row>
    <row r="36" spans="2:12" ht="15">
      <c r="B36" s="13"/>
      <c r="C36" s="3" t="s">
        <v>197</v>
      </c>
      <c r="K36" s="69"/>
      <c r="L36" s="69"/>
    </row>
    <row r="37" spans="2:12" ht="15">
      <c r="B37" s="13"/>
      <c r="C37" s="3" t="s">
        <v>198</v>
      </c>
      <c r="K37" s="69"/>
      <c r="L37" s="69"/>
    </row>
    <row r="38" spans="2:12" ht="15">
      <c r="B38" s="13"/>
      <c r="C38" s="3" t="s">
        <v>205</v>
      </c>
      <c r="K38" s="69"/>
      <c r="L38" s="69"/>
    </row>
    <row r="39" spans="2:12" ht="15">
      <c r="B39" s="13"/>
      <c r="K39" s="69"/>
      <c r="L39" s="69"/>
    </row>
    <row r="40" ht="15">
      <c r="B40" s="13"/>
    </row>
    <row r="41" spans="2:3" ht="15">
      <c r="B41" s="10" t="s">
        <v>54</v>
      </c>
      <c r="C41" s="2" t="s">
        <v>201</v>
      </c>
    </row>
    <row r="42" spans="2:3" ht="15">
      <c r="B42" s="10"/>
      <c r="C42" s="3" t="s">
        <v>206</v>
      </c>
    </row>
    <row r="43" ht="15">
      <c r="B43" s="10"/>
    </row>
    <row r="45" spans="2:3" ht="14.25" customHeight="1">
      <c r="B45" s="10" t="s">
        <v>55</v>
      </c>
      <c r="C45" s="2" t="s">
        <v>57</v>
      </c>
    </row>
    <row r="46" spans="3:11" ht="14.25" customHeight="1">
      <c r="C46" s="17" t="s">
        <v>6</v>
      </c>
      <c r="D46" s="3" t="s">
        <v>202</v>
      </c>
      <c r="K46" s="18"/>
    </row>
    <row r="48" spans="3:4" ht="15">
      <c r="C48" s="17" t="s">
        <v>8</v>
      </c>
      <c r="D48" s="3" t="s">
        <v>105</v>
      </c>
    </row>
    <row r="49" spans="3:12" ht="15">
      <c r="C49" s="17"/>
      <c r="K49" s="58"/>
      <c r="L49" s="58" t="s">
        <v>92</v>
      </c>
    </row>
    <row r="50" spans="3:12" ht="15">
      <c r="C50" s="17"/>
      <c r="K50" s="58"/>
      <c r="L50" s="58" t="s">
        <v>117</v>
      </c>
    </row>
    <row r="51" spans="3:12" ht="15">
      <c r="C51" s="17"/>
      <c r="K51" s="60"/>
      <c r="L51" s="60" t="s">
        <v>185</v>
      </c>
    </row>
    <row r="52" spans="4:12" ht="15">
      <c r="D52" s="19"/>
      <c r="E52" s="19"/>
      <c r="F52" s="19"/>
      <c r="G52" s="19"/>
      <c r="H52" s="19"/>
      <c r="I52" s="19"/>
      <c r="J52" s="19"/>
      <c r="K52" s="58"/>
      <c r="L52" s="58" t="s">
        <v>4</v>
      </c>
    </row>
    <row r="53" spans="4:12" ht="21.75" customHeight="1">
      <c r="D53" s="19" t="s">
        <v>90</v>
      </c>
      <c r="E53" s="19"/>
      <c r="F53" s="19"/>
      <c r="G53" s="19"/>
      <c r="H53" s="19"/>
      <c r="I53" s="19"/>
      <c r="J53" s="19"/>
      <c r="K53" s="20"/>
      <c r="L53" s="20">
        <v>176998</v>
      </c>
    </row>
    <row r="54" spans="4:12" ht="21.75" customHeight="1">
      <c r="D54" s="19" t="s">
        <v>104</v>
      </c>
      <c r="E54" s="19"/>
      <c r="F54" s="19"/>
      <c r="G54" s="19"/>
      <c r="H54" s="19"/>
      <c r="I54" s="19"/>
      <c r="J54" s="19"/>
      <c r="K54" s="15"/>
      <c r="L54" s="15">
        <v>165070</v>
      </c>
    </row>
    <row r="55" spans="4:12" ht="21.75" customHeight="1">
      <c r="D55" s="19" t="s">
        <v>91</v>
      </c>
      <c r="E55" s="19"/>
      <c r="F55" s="19"/>
      <c r="G55" s="19"/>
      <c r="H55" s="19"/>
      <c r="I55" s="19"/>
      <c r="J55" s="19"/>
      <c r="K55" s="22"/>
      <c r="L55" s="22">
        <v>82810</v>
      </c>
    </row>
    <row r="56" ht="15">
      <c r="L56" s="18"/>
    </row>
    <row r="57" ht="15">
      <c r="L57" s="18"/>
    </row>
    <row r="58" spans="2:3" ht="15">
      <c r="B58" s="10" t="s">
        <v>56</v>
      </c>
      <c r="C58" s="2" t="s">
        <v>106</v>
      </c>
    </row>
    <row r="59" spans="2:3" ht="15">
      <c r="B59" s="10"/>
      <c r="C59" s="3" t="s">
        <v>221</v>
      </c>
    </row>
    <row r="60" spans="2:3" ht="15">
      <c r="B60" s="10"/>
      <c r="C60" s="3" t="s">
        <v>222</v>
      </c>
    </row>
    <row r="61" spans="2:3" ht="15">
      <c r="B61" s="10"/>
      <c r="C61" s="3" t="s">
        <v>223</v>
      </c>
    </row>
    <row r="62" spans="2:3" ht="15">
      <c r="B62" s="10"/>
      <c r="C62" s="2"/>
    </row>
    <row r="63" ht="15">
      <c r="C63" s="3" t="s">
        <v>216</v>
      </c>
    </row>
    <row r="64" ht="15">
      <c r="C64" s="3" t="s">
        <v>217</v>
      </c>
    </row>
    <row r="65" ht="15">
      <c r="C65" s="3" t="s">
        <v>218</v>
      </c>
    </row>
    <row r="68" spans="2:12" ht="15">
      <c r="B68" s="10" t="s">
        <v>58</v>
      </c>
      <c r="C68" s="23" t="s">
        <v>108</v>
      </c>
      <c r="D68" s="19"/>
      <c r="E68" s="19"/>
      <c r="F68" s="19"/>
      <c r="G68" s="19"/>
      <c r="H68" s="19"/>
      <c r="I68" s="19"/>
      <c r="J68" s="19"/>
      <c r="K68" s="19"/>
      <c r="L68" s="19"/>
    </row>
    <row r="69" spans="3:12" ht="15">
      <c r="C69" s="19" t="s">
        <v>186</v>
      </c>
      <c r="E69" s="19"/>
      <c r="F69" s="19"/>
      <c r="G69" s="19"/>
      <c r="H69" s="19"/>
      <c r="I69" s="19"/>
      <c r="J69" s="19"/>
      <c r="K69" s="19"/>
      <c r="L69" s="19"/>
    </row>
    <row r="70" spans="3:12" ht="15">
      <c r="C70" s="19" t="s">
        <v>187</v>
      </c>
      <c r="E70" s="19"/>
      <c r="F70" s="19"/>
      <c r="G70" s="19"/>
      <c r="H70" s="19"/>
      <c r="I70" s="19"/>
      <c r="J70" s="19"/>
      <c r="K70" s="19"/>
      <c r="L70" s="19"/>
    </row>
    <row r="71" spans="3:12" ht="15">
      <c r="C71" s="19" t="s">
        <v>188</v>
      </c>
      <c r="E71" s="19"/>
      <c r="F71" s="19"/>
      <c r="G71" s="19"/>
      <c r="H71" s="19"/>
      <c r="I71" s="19"/>
      <c r="J71" s="19"/>
      <c r="K71" s="19"/>
      <c r="L71" s="19"/>
    </row>
    <row r="72" spans="3:12" ht="15">
      <c r="C72" s="24" t="s">
        <v>207</v>
      </c>
      <c r="E72" s="19"/>
      <c r="F72" s="19"/>
      <c r="G72" s="19"/>
      <c r="H72" s="19"/>
      <c r="I72" s="19"/>
      <c r="J72" s="19"/>
      <c r="K72" s="19"/>
      <c r="L72" s="19"/>
    </row>
    <row r="73" spans="3:12" ht="15">
      <c r="C73" s="3" t="s">
        <v>208</v>
      </c>
      <c r="D73" s="24"/>
      <c r="E73" s="19"/>
      <c r="F73" s="19"/>
      <c r="G73" s="19"/>
      <c r="H73" s="19"/>
      <c r="I73" s="19"/>
      <c r="J73" s="19"/>
      <c r="K73" s="19"/>
      <c r="L73" s="19"/>
    </row>
    <row r="74" spans="3:12" ht="15">
      <c r="C74" s="3" t="s">
        <v>209</v>
      </c>
      <c r="D74" s="24"/>
      <c r="E74" s="19"/>
      <c r="F74" s="19"/>
      <c r="G74" s="19"/>
      <c r="H74" s="19"/>
      <c r="I74" s="19"/>
      <c r="J74" s="19"/>
      <c r="K74" s="19"/>
      <c r="L74" s="19"/>
    </row>
    <row r="75" spans="4:12" ht="15">
      <c r="D75" s="24"/>
      <c r="E75" s="19"/>
      <c r="F75" s="19"/>
      <c r="G75" s="19"/>
      <c r="H75" s="19"/>
      <c r="I75" s="19"/>
      <c r="J75" s="19"/>
      <c r="K75" s="19"/>
      <c r="L75" s="19"/>
    </row>
    <row r="76" spans="4:12" ht="15">
      <c r="D76" s="24"/>
      <c r="E76" s="19"/>
      <c r="F76" s="19"/>
      <c r="G76" s="19"/>
      <c r="H76" s="19"/>
      <c r="I76" s="19"/>
      <c r="J76" s="19"/>
      <c r="K76" s="19"/>
      <c r="L76" s="19"/>
    </row>
    <row r="77" spans="2:3" ht="15">
      <c r="B77" s="10" t="s">
        <v>59</v>
      </c>
      <c r="C77" s="2" t="s">
        <v>111</v>
      </c>
    </row>
    <row r="78" ht="15">
      <c r="C78" s="3" t="s">
        <v>173</v>
      </c>
    </row>
    <row r="79" ht="15">
      <c r="C79" s="3" t="s">
        <v>190</v>
      </c>
    </row>
    <row r="82" spans="2:3" ht="15">
      <c r="B82" s="10" t="s">
        <v>60</v>
      </c>
      <c r="C82" s="2" t="s">
        <v>63</v>
      </c>
    </row>
    <row r="83" ht="15">
      <c r="C83" s="3" t="s">
        <v>112</v>
      </c>
    </row>
    <row r="84" ht="15">
      <c r="L84" s="58" t="s">
        <v>92</v>
      </c>
    </row>
    <row r="85" ht="15">
      <c r="L85" s="58" t="s">
        <v>117</v>
      </c>
    </row>
    <row r="86" ht="15">
      <c r="L86" s="60" t="s">
        <v>185</v>
      </c>
    </row>
    <row r="87" spans="3:12" ht="15">
      <c r="C87" s="19"/>
      <c r="D87" s="19"/>
      <c r="E87" s="19"/>
      <c r="F87" s="19"/>
      <c r="G87" s="19"/>
      <c r="H87" s="19"/>
      <c r="I87" s="19"/>
      <c r="J87" s="19"/>
      <c r="L87" s="58" t="s">
        <v>4</v>
      </c>
    </row>
    <row r="88" spans="3:12" ht="15">
      <c r="C88" s="25" t="s">
        <v>64</v>
      </c>
      <c r="D88" s="25"/>
      <c r="E88" s="25"/>
      <c r="F88" s="25"/>
      <c r="G88" s="25"/>
      <c r="H88" s="25"/>
      <c r="I88" s="25"/>
      <c r="J88" s="25"/>
      <c r="L88" s="26">
        <v>168525</v>
      </c>
    </row>
    <row r="89" spans="3:12" ht="15">
      <c r="C89" s="25" t="s">
        <v>65</v>
      </c>
      <c r="D89" s="25"/>
      <c r="E89" s="25"/>
      <c r="F89" s="25"/>
      <c r="G89" s="25"/>
      <c r="H89" s="25"/>
      <c r="I89" s="25"/>
      <c r="J89" s="25"/>
      <c r="L89" s="27">
        <v>73555</v>
      </c>
    </row>
    <row r="90" spans="3:12" ht="15">
      <c r="C90" s="28"/>
      <c r="D90" s="28"/>
      <c r="E90" s="28"/>
      <c r="F90" s="28"/>
      <c r="G90" s="28"/>
      <c r="H90" s="28"/>
      <c r="I90" s="28"/>
      <c r="J90" s="28"/>
      <c r="L90" s="29">
        <f>SUM(L88:L89)</f>
        <v>242080</v>
      </c>
    </row>
    <row r="91" spans="3:12" ht="15">
      <c r="C91" s="28"/>
      <c r="D91" s="28"/>
      <c r="E91" s="28"/>
      <c r="F91" s="28"/>
      <c r="G91" s="28"/>
      <c r="H91" s="28"/>
      <c r="I91" s="28"/>
      <c r="J91" s="28"/>
      <c r="K91" s="26"/>
      <c r="L91" s="70"/>
    </row>
    <row r="92" spans="3:12" ht="15">
      <c r="C92" s="28"/>
      <c r="D92" s="28"/>
      <c r="E92" s="28"/>
      <c r="F92" s="28"/>
      <c r="G92" s="28"/>
      <c r="H92" s="28"/>
      <c r="I92" s="28"/>
      <c r="J92" s="28"/>
      <c r="K92" s="26"/>
      <c r="L92" s="70"/>
    </row>
    <row r="93" spans="2:12" ht="15">
      <c r="B93" s="10" t="s">
        <v>61</v>
      </c>
      <c r="C93" s="2" t="s">
        <v>67</v>
      </c>
      <c r="E93" s="28"/>
      <c r="F93" s="28"/>
      <c r="G93" s="28"/>
      <c r="H93" s="28"/>
      <c r="I93" s="28"/>
      <c r="J93" s="28"/>
      <c r="K93" s="26"/>
      <c r="L93" s="70"/>
    </row>
    <row r="94" spans="3:12" ht="15">
      <c r="C94" s="3" t="s">
        <v>210</v>
      </c>
      <c r="E94" s="28"/>
      <c r="F94" s="28"/>
      <c r="G94" s="28"/>
      <c r="H94" s="28"/>
      <c r="I94" s="28"/>
      <c r="J94" s="28"/>
      <c r="K94" s="26"/>
      <c r="L94" s="70"/>
    </row>
    <row r="95" spans="3:12" ht="15">
      <c r="C95" s="28"/>
      <c r="D95" s="28"/>
      <c r="E95" s="28"/>
      <c r="F95" s="28"/>
      <c r="G95" s="28"/>
      <c r="H95" s="28"/>
      <c r="I95" s="28"/>
      <c r="J95" s="28"/>
      <c r="K95" s="26"/>
      <c r="L95" s="70"/>
    </row>
    <row r="97" spans="2:3" ht="15">
      <c r="B97" s="10" t="s">
        <v>62</v>
      </c>
      <c r="C97" s="2" t="s">
        <v>69</v>
      </c>
    </row>
    <row r="98" ht="15">
      <c r="C98" s="3" t="s">
        <v>124</v>
      </c>
    </row>
    <row r="99" ht="15">
      <c r="C99" s="3" t="s">
        <v>125</v>
      </c>
    </row>
    <row r="102" spans="2:3" ht="15">
      <c r="B102" s="10" t="s">
        <v>66</v>
      </c>
      <c r="C102" s="2" t="s">
        <v>72</v>
      </c>
    </row>
    <row r="103" ht="15">
      <c r="C103" s="3" t="s">
        <v>113</v>
      </c>
    </row>
    <row r="104" spans="10:12" ht="14.25" customHeight="1">
      <c r="J104" s="61"/>
      <c r="K104" s="62" t="s">
        <v>78</v>
      </c>
      <c r="L104" s="62" t="s">
        <v>93</v>
      </c>
    </row>
    <row r="105" spans="10:12" ht="14.25" customHeight="1">
      <c r="J105" s="62" t="s">
        <v>7</v>
      </c>
      <c r="K105" s="62" t="s">
        <v>79</v>
      </c>
      <c r="L105" s="62" t="s">
        <v>80</v>
      </c>
    </row>
    <row r="106" spans="10:12" ht="14.25" customHeight="1">
      <c r="J106" s="59" t="s">
        <v>185</v>
      </c>
      <c r="K106" s="59" t="s">
        <v>185</v>
      </c>
      <c r="L106" s="59" t="s">
        <v>185</v>
      </c>
    </row>
    <row r="107" spans="10:12" ht="14.25" customHeight="1">
      <c r="J107" s="62" t="s">
        <v>4</v>
      </c>
      <c r="K107" s="62" t="s">
        <v>4</v>
      </c>
      <c r="L107" s="62" t="s">
        <v>4</v>
      </c>
    </row>
    <row r="108" spans="3:12" ht="15">
      <c r="C108" s="17" t="s">
        <v>73</v>
      </c>
      <c r="J108" s="76">
        <v>65913.184</v>
      </c>
      <c r="K108" s="76">
        <v>8006.38</v>
      </c>
      <c r="L108" s="77">
        <v>1067801.696</v>
      </c>
    </row>
    <row r="109" spans="3:12" ht="15">
      <c r="C109" s="17" t="s">
        <v>74</v>
      </c>
      <c r="J109" s="76">
        <v>6455.251</v>
      </c>
      <c r="K109" s="76">
        <v>474.874</v>
      </c>
      <c r="L109" s="76">
        <v>859.483</v>
      </c>
    </row>
    <row r="110" spans="3:12" ht="15">
      <c r="C110" s="17" t="s">
        <v>75</v>
      </c>
      <c r="J110" s="76">
        <v>11547.993</v>
      </c>
      <c r="K110" s="76">
        <v>625.63</v>
      </c>
      <c r="L110" s="76">
        <v>23076.996</v>
      </c>
    </row>
    <row r="111" spans="3:12" ht="15">
      <c r="C111" s="17" t="s">
        <v>76</v>
      </c>
      <c r="J111" s="76">
        <v>873.513</v>
      </c>
      <c r="K111" s="76">
        <v>23925.995</v>
      </c>
      <c r="L111" s="76">
        <v>208866.431</v>
      </c>
    </row>
    <row r="112" spans="3:12" ht="15">
      <c r="C112" s="17" t="s">
        <v>77</v>
      </c>
      <c r="J112" s="76">
        <v>0</v>
      </c>
      <c r="K112" s="76">
        <v>-2.662</v>
      </c>
      <c r="L112" s="76">
        <v>105.27</v>
      </c>
    </row>
    <row r="113" spans="3:12" ht="15">
      <c r="C113" s="17" t="s">
        <v>88</v>
      </c>
      <c r="J113" s="76">
        <v>0</v>
      </c>
      <c r="K113" s="76">
        <v>0</v>
      </c>
      <c r="L113" s="76">
        <v>0</v>
      </c>
    </row>
    <row r="114" spans="3:12" ht="15">
      <c r="C114" s="17" t="s">
        <v>99</v>
      </c>
      <c r="J114" s="76">
        <v>10221.526</v>
      </c>
      <c r="K114" s="20">
        <v>-184.063</v>
      </c>
      <c r="L114" s="76">
        <v>26719.702</v>
      </c>
    </row>
    <row r="115" spans="10:12" ht="15.75" thickBot="1">
      <c r="J115" s="74">
        <f>SUM(J108:J114)</f>
        <v>95011.467</v>
      </c>
      <c r="K115" s="78">
        <f>SUM(K108:K114)</f>
        <v>32846.154</v>
      </c>
      <c r="L115" s="78">
        <f>SUM(L108:L114)</f>
        <v>1327429.5780000002</v>
      </c>
    </row>
    <row r="116" spans="3:10" ht="15.75" thickTop="1">
      <c r="C116" s="3" t="s">
        <v>174</v>
      </c>
      <c r="J116" s="76">
        <v>-6455.251</v>
      </c>
    </row>
    <row r="117" ht="15.75" thickBot="1">
      <c r="J117" s="78">
        <f>SUM(J115:J116)</f>
        <v>88556.216</v>
      </c>
    </row>
    <row r="118" ht="15.75" thickTop="1">
      <c r="B118" s="10"/>
    </row>
    <row r="119" ht="15">
      <c r="B119" s="10"/>
    </row>
    <row r="120" spans="2:3" ht="15">
      <c r="B120" s="10" t="s">
        <v>68</v>
      </c>
      <c r="C120" s="2" t="s">
        <v>175</v>
      </c>
    </row>
    <row r="121" spans="2:12" ht="15">
      <c r="B121" s="10"/>
      <c r="C121" s="18" t="s">
        <v>191</v>
      </c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3:12" ht="15">
      <c r="C122" s="18" t="s">
        <v>193</v>
      </c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3:12" ht="15">
      <c r="C123" s="18" t="s">
        <v>211</v>
      </c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2:12" ht="15">
      <c r="B124" s="13"/>
      <c r="C124" s="18" t="s">
        <v>212</v>
      </c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2:12" ht="15">
      <c r="B125" s="13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ht="15">
      <c r="B126" s="13"/>
    </row>
    <row r="127" spans="2:3" ht="15">
      <c r="B127" s="10" t="s">
        <v>70</v>
      </c>
      <c r="C127" s="2" t="s">
        <v>114</v>
      </c>
    </row>
    <row r="128" spans="3:12" ht="13.5" customHeight="1">
      <c r="C128" s="18" t="s">
        <v>192</v>
      </c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3:12" ht="15">
      <c r="C129" s="18" t="s">
        <v>204</v>
      </c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3:12" ht="15">
      <c r="C130" s="18" t="s">
        <v>213</v>
      </c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3:12" ht="15">
      <c r="C131" s="18" t="s">
        <v>214</v>
      </c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3:12" ht="15">
      <c r="C132" s="18" t="s">
        <v>203</v>
      </c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3:12" ht="15"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5" spans="2:3" ht="15">
      <c r="B135" s="10" t="s">
        <v>71</v>
      </c>
      <c r="C135" s="2" t="s">
        <v>176</v>
      </c>
    </row>
    <row r="136" ht="15">
      <c r="C136" s="3" t="s">
        <v>177</v>
      </c>
    </row>
    <row r="139" spans="2:3" ht="15">
      <c r="B139" s="10" t="s">
        <v>81</v>
      </c>
      <c r="C139" s="2" t="s">
        <v>109</v>
      </c>
    </row>
    <row r="140" ht="15">
      <c r="C140" s="3" t="s">
        <v>110</v>
      </c>
    </row>
    <row r="142" spans="9:12" ht="15">
      <c r="I142" s="16"/>
      <c r="J142" s="16"/>
      <c r="K142" s="16"/>
      <c r="L142" s="16"/>
    </row>
    <row r="143" spans="2:3" ht="15">
      <c r="B143" s="10" t="s">
        <v>82</v>
      </c>
      <c r="C143" s="2" t="s">
        <v>83</v>
      </c>
    </row>
    <row r="144" ht="15">
      <c r="C144" s="3" t="s">
        <v>194</v>
      </c>
    </row>
    <row r="145" ht="15">
      <c r="C145" s="3" t="s">
        <v>219</v>
      </c>
    </row>
    <row r="146" ht="15">
      <c r="C146" s="3" t="s">
        <v>220</v>
      </c>
    </row>
    <row r="149" spans="2:3" ht="15">
      <c r="B149" s="10" t="s">
        <v>215</v>
      </c>
      <c r="C149" s="2" t="s">
        <v>85</v>
      </c>
    </row>
    <row r="150" spans="2:3" ht="15">
      <c r="B150" s="10"/>
      <c r="C150" s="3" t="s">
        <v>178</v>
      </c>
    </row>
    <row r="151" ht="15">
      <c r="B151" s="10"/>
    </row>
    <row r="153" spans="2:3" ht="15">
      <c r="B153" s="10" t="s">
        <v>84</v>
      </c>
      <c r="C153" s="2" t="s">
        <v>86</v>
      </c>
    </row>
    <row r="154" ht="15">
      <c r="C154" s="3" t="s">
        <v>94</v>
      </c>
    </row>
    <row r="157" spans="2:3" ht="15">
      <c r="B157" s="10" t="s">
        <v>224</v>
      </c>
      <c r="C157" s="2" t="s">
        <v>225</v>
      </c>
    </row>
    <row r="158" ht="15">
      <c r="C158" s="3" t="s">
        <v>226</v>
      </c>
    </row>
    <row r="159" ht="15">
      <c r="C159" s="3" t="s">
        <v>227</v>
      </c>
    </row>
    <row r="160" ht="15">
      <c r="C160" s="3" t="s">
        <v>228</v>
      </c>
    </row>
    <row r="164" ht="15">
      <c r="B164" s="3" t="s">
        <v>95</v>
      </c>
    </row>
    <row r="166" ht="15">
      <c r="B166" s="3" t="s">
        <v>230</v>
      </c>
    </row>
    <row r="167" ht="15">
      <c r="B167" s="3" t="s">
        <v>189</v>
      </c>
    </row>
    <row r="168" ht="15">
      <c r="B168" s="3" t="s">
        <v>96</v>
      </c>
    </row>
    <row r="170" ht="15">
      <c r="B170" s="13" t="s">
        <v>229</v>
      </c>
    </row>
    <row r="171" ht="15">
      <c r="B171" s="3" t="s">
        <v>97</v>
      </c>
    </row>
    <row r="172" ht="15">
      <c r="B172" s="3" t="s">
        <v>98</v>
      </c>
    </row>
    <row r="173" ht="15">
      <c r="B173" s="30"/>
    </row>
  </sheetData>
  <printOptions/>
  <pageMargins left="0.5" right="0.5" top="1" bottom="0.75" header="0" footer="0.5"/>
  <pageSetup fitToHeight="0" horizontalDpi="300" verticalDpi="300" orientation="portrait" paperSize="9" scale="90" r:id="rId1"/>
  <rowBreaks count="4" manualBreakCount="4">
    <brk id="44" min="1" max="11" man="1"/>
    <brk id="81" min="1" max="11" man="1"/>
    <brk id="119" min="1" max="11" man="1"/>
    <brk id="15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Tropicana Golf &amp; Country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Tropicana Golf &amp; Country Club</dc:creator>
  <cp:keywords/>
  <dc:description/>
  <cp:lastModifiedBy>SEMAJU MANAGEMENT</cp:lastModifiedBy>
  <cp:lastPrinted>2001-08-27T17:41:41Z</cp:lastPrinted>
  <dcterms:created xsi:type="dcterms:W3CDTF">1999-11-16T09:13:51Z</dcterms:created>
  <dcterms:modified xsi:type="dcterms:W3CDTF">2001-08-14T08:38:45Z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